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8614DCFA-DBAB-4161-B3AC-0CBC60F9085D}" xr6:coauthVersionLast="47" xr6:coauthVersionMax="47" xr10:uidLastSave="{00000000-0000-0000-0000-000000000000}"/>
  <bookViews>
    <workbookView xWindow="-120" yWindow="-120" windowWidth="25440" windowHeight="15270" activeTab="10" xr2:uid="{00000000-000D-0000-FFFF-FFFF00000000}"/>
  </bookViews>
  <sheets>
    <sheet name="H25" sheetId="7" r:id="rId1"/>
    <sheet name="H26" sheetId="6" r:id="rId2"/>
    <sheet name="H27" sheetId="5" r:id="rId3"/>
    <sheet name="H29" sheetId="4" r:id="rId4"/>
    <sheet name="H30" sheetId="3" r:id="rId5"/>
    <sheet name="H31" sheetId="2" r:id="rId6"/>
    <sheet name="R2" sheetId="9" r:id="rId7"/>
    <sheet name="R4" sheetId="16" r:id="rId8"/>
    <sheet name="R5" sheetId="17" r:id="rId9"/>
    <sheet name="R6" sheetId="18" r:id="rId10"/>
    <sheet name="R7" sheetId="19" r:id="rId11"/>
    <sheet name="推移" sheetId="1" r:id="rId12"/>
  </sheets>
  <definedNames>
    <definedName name="_xlnm._FilterDatabase" localSheetId="11" hidden="1">推移!$A$3:$L$3</definedName>
    <definedName name="_xlnm.Print_Area" localSheetId="11">推移!$A$1:$N$40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0" i="19" l="1"/>
  <c r="G73" i="19"/>
  <c r="G174" i="19"/>
  <c r="H174" i="19"/>
  <c r="I174" i="19"/>
  <c r="I175" i="19" s="1"/>
  <c r="J174" i="19"/>
  <c r="J175" i="19" s="1"/>
  <c r="K174" i="19"/>
  <c r="L174" i="19"/>
  <c r="L175" i="19" s="1"/>
  <c r="M174" i="19"/>
  <c r="N174" i="19"/>
  <c r="N175" i="19" s="1"/>
  <c r="O174" i="19"/>
  <c r="O175" i="19" s="1"/>
  <c r="H153" i="19"/>
  <c r="I153" i="19"/>
  <c r="J153" i="19"/>
  <c r="K153" i="19"/>
  <c r="L153" i="19"/>
  <c r="M153" i="19"/>
  <c r="N153" i="19"/>
  <c r="O153" i="19"/>
  <c r="G153" i="19"/>
  <c r="I123" i="19"/>
  <c r="P22" i="19"/>
  <c r="O269" i="19"/>
  <c r="N269" i="19"/>
  <c r="M269" i="19"/>
  <c r="L269" i="19"/>
  <c r="K269" i="19"/>
  <c r="J269" i="19"/>
  <c r="I269" i="19"/>
  <c r="H269" i="19"/>
  <c r="G269" i="19"/>
  <c r="P268" i="19"/>
  <c r="P267" i="19"/>
  <c r="P266" i="19"/>
  <c r="O261" i="19"/>
  <c r="N261" i="19"/>
  <c r="M261" i="19"/>
  <c r="L261" i="19"/>
  <c r="K261" i="19"/>
  <c r="J261" i="19"/>
  <c r="I261" i="19"/>
  <c r="H261" i="19"/>
  <c r="G261" i="19"/>
  <c r="P260" i="19"/>
  <c r="P259" i="19"/>
  <c r="P258" i="19"/>
  <c r="O253" i="19"/>
  <c r="N253" i="19"/>
  <c r="M253" i="19"/>
  <c r="L253" i="19"/>
  <c r="K253" i="19"/>
  <c r="J253" i="19"/>
  <c r="I253" i="19"/>
  <c r="H253" i="19"/>
  <c r="G253" i="19"/>
  <c r="P252" i="19"/>
  <c r="P251" i="19"/>
  <c r="P250" i="19"/>
  <c r="O245" i="19"/>
  <c r="N245" i="19"/>
  <c r="M245" i="19"/>
  <c r="L245" i="19"/>
  <c r="K245" i="19"/>
  <c r="J245" i="19"/>
  <c r="I245" i="19"/>
  <c r="H245" i="19"/>
  <c r="G245" i="19"/>
  <c r="P244" i="19"/>
  <c r="P243" i="19"/>
  <c r="P242" i="19"/>
  <c r="O237" i="19"/>
  <c r="N237" i="19"/>
  <c r="M237" i="19"/>
  <c r="L237" i="19"/>
  <c r="K237" i="19"/>
  <c r="J237" i="19"/>
  <c r="I237" i="19"/>
  <c r="H237" i="19"/>
  <c r="G237" i="19"/>
  <c r="P236" i="19"/>
  <c r="P235" i="19"/>
  <c r="P234" i="19"/>
  <c r="O229" i="19"/>
  <c r="N229" i="19"/>
  <c r="M229" i="19"/>
  <c r="L229" i="19"/>
  <c r="K229" i="19"/>
  <c r="J229" i="19"/>
  <c r="I229" i="19"/>
  <c r="H229" i="19"/>
  <c r="G229" i="19"/>
  <c r="P228" i="19"/>
  <c r="P227" i="19"/>
  <c r="P226" i="19"/>
  <c r="O216" i="19"/>
  <c r="N216" i="19"/>
  <c r="M216" i="19"/>
  <c r="L216" i="19"/>
  <c r="K216" i="19"/>
  <c r="J216" i="19"/>
  <c r="I216" i="19"/>
  <c r="H216" i="19"/>
  <c r="G216" i="19"/>
  <c r="P215" i="19"/>
  <c r="P214" i="19"/>
  <c r="P213" i="19"/>
  <c r="P212" i="19"/>
  <c r="O202" i="19"/>
  <c r="N202" i="19"/>
  <c r="M202" i="19"/>
  <c r="L202" i="19"/>
  <c r="K202" i="19"/>
  <c r="J202" i="19"/>
  <c r="I202" i="19"/>
  <c r="H202" i="19"/>
  <c r="G202" i="19"/>
  <c r="P201" i="19"/>
  <c r="P200" i="19"/>
  <c r="P199" i="19"/>
  <c r="P202" i="19" s="1"/>
  <c r="E206" i="19" s="1"/>
  <c r="P198" i="19"/>
  <c r="O188" i="19"/>
  <c r="N188" i="19"/>
  <c r="M188" i="19"/>
  <c r="L188" i="19"/>
  <c r="K188" i="19"/>
  <c r="J188" i="19"/>
  <c r="I188" i="19"/>
  <c r="H188" i="19"/>
  <c r="G188" i="19"/>
  <c r="P187" i="19"/>
  <c r="P186" i="19"/>
  <c r="P185" i="19"/>
  <c r="P184" i="19"/>
  <c r="M175" i="19"/>
  <c r="K175" i="19"/>
  <c r="P173" i="19"/>
  <c r="P172" i="19"/>
  <c r="P171" i="19"/>
  <c r="P170" i="19"/>
  <c r="L164" i="19"/>
  <c r="I164" i="19"/>
  <c r="P152" i="19"/>
  <c r="P151" i="19"/>
  <c r="O134" i="19"/>
  <c r="O142" i="19" s="1"/>
  <c r="N134" i="19"/>
  <c r="N142" i="19" s="1"/>
  <c r="M134" i="19"/>
  <c r="M142" i="19" s="1"/>
  <c r="L134" i="19"/>
  <c r="L142" i="19" s="1"/>
  <c r="K134" i="19"/>
  <c r="K142" i="19" s="1"/>
  <c r="J134" i="19"/>
  <c r="J142" i="19" s="1"/>
  <c r="I134" i="19"/>
  <c r="I142" i="19" s="1"/>
  <c r="H134" i="19"/>
  <c r="H142" i="19" s="1"/>
  <c r="G134" i="19"/>
  <c r="P133" i="19"/>
  <c r="P132" i="19"/>
  <c r="P131" i="19"/>
  <c r="P130" i="19"/>
  <c r="I124" i="19"/>
  <c r="O120" i="19"/>
  <c r="N120" i="19"/>
  <c r="M120" i="19"/>
  <c r="L120" i="19"/>
  <c r="K120" i="19"/>
  <c r="J120" i="19"/>
  <c r="I120" i="19"/>
  <c r="H120" i="19"/>
  <c r="G120" i="19"/>
  <c r="P119" i="19"/>
  <c r="P118" i="19"/>
  <c r="P120" i="19" s="1"/>
  <c r="L112" i="19"/>
  <c r="O109" i="19"/>
  <c r="O112" i="19" s="1"/>
  <c r="N109" i="19"/>
  <c r="N112" i="19" s="1"/>
  <c r="M109" i="19"/>
  <c r="M112" i="19" s="1"/>
  <c r="L109" i="19"/>
  <c r="K109" i="19"/>
  <c r="K112" i="19" s="1"/>
  <c r="J109" i="19"/>
  <c r="J112" i="19" s="1"/>
  <c r="I109" i="19"/>
  <c r="I112" i="19" s="1"/>
  <c r="H109" i="19"/>
  <c r="H112" i="19" s="1"/>
  <c r="G109" i="19"/>
  <c r="G112" i="19" s="1"/>
  <c r="P108" i="19"/>
  <c r="P107" i="19"/>
  <c r="P106" i="19"/>
  <c r="M101" i="19"/>
  <c r="L101" i="19"/>
  <c r="I101" i="19"/>
  <c r="O98" i="19"/>
  <c r="O101" i="19" s="1"/>
  <c r="N98" i="19"/>
  <c r="N101" i="19" s="1"/>
  <c r="M98" i="19"/>
  <c r="L98" i="19"/>
  <c r="K98" i="19"/>
  <c r="K101" i="19" s="1"/>
  <c r="J98" i="19"/>
  <c r="J101" i="19" s="1"/>
  <c r="I98" i="19"/>
  <c r="H98" i="19"/>
  <c r="H101" i="19" s="1"/>
  <c r="G98" i="19"/>
  <c r="G101" i="19" s="1"/>
  <c r="P97" i="19"/>
  <c r="P96" i="19"/>
  <c r="P95" i="19"/>
  <c r="O90" i="19"/>
  <c r="N90" i="19"/>
  <c r="O87" i="19"/>
  <c r="N87" i="19"/>
  <c r="M87" i="19"/>
  <c r="M90" i="19" s="1"/>
  <c r="L87" i="19"/>
  <c r="L90" i="19" s="1"/>
  <c r="K87" i="19"/>
  <c r="K90" i="19" s="1"/>
  <c r="J87" i="19"/>
  <c r="J90" i="19" s="1"/>
  <c r="I87" i="19"/>
  <c r="I90" i="19" s="1"/>
  <c r="H87" i="19"/>
  <c r="H90" i="19" s="1"/>
  <c r="G87" i="19"/>
  <c r="P86" i="19"/>
  <c r="P85" i="19"/>
  <c r="P84" i="19"/>
  <c r="P83" i="19"/>
  <c r="P82" i="19"/>
  <c r="P81" i="19"/>
  <c r="O73" i="19"/>
  <c r="O76" i="19" s="1"/>
  <c r="N73" i="19"/>
  <c r="N76" i="19" s="1"/>
  <c r="M73" i="19"/>
  <c r="M76" i="19" s="1"/>
  <c r="L73" i="19"/>
  <c r="L76" i="19" s="1"/>
  <c r="K73" i="19"/>
  <c r="K76" i="19" s="1"/>
  <c r="J73" i="19"/>
  <c r="J76" i="19" s="1"/>
  <c r="I73" i="19"/>
  <c r="I76" i="19" s="1"/>
  <c r="H73" i="19"/>
  <c r="H76" i="19" s="1"/>
  <c r="P71" i="19"/>
  <c r="P70" i="19"/>
  <c r="O65" i="19"/>
  <c r="N65" i="19"/>
  <c r="G65" i="19"/>
  <c r="O62" i="19"/>
  <c r="N62" i="19"/>
  <c r="M62" i="19"/>
  <c r="M65" i="19" s="1"/>
  <c r="L62" i="19"/>
  <c r="L65" i="19" s="1"/>
  <c r="K62" i="19"/>
  <c r="K65" i="19" s="1"/>
  <c r="J62" i="19"/>
  <c r="J65" i="19" s="1"/>
  <c r="I62" i="19"/>
  <c r="I65" i="19" s="1"/>
  <c r="H62" i="19"/>
  <c r="H65" i="19" s="1"/>
  <c r="G62" i="19"/>
  <c r="P61" i="19"/>
  <c r="P60" i="19"/>
  <c r="P59" i="19"/>
  <c r="O54" i="19"/>
  <c r="O51" i="19"/>
  <c r="N51" i="19"/>
  <c r="N54" i="19" s="1"/>
  <c r="M51" i="19"/>
  <c r="M54" i="19" s="1"/>
  <c r="L51" i="19"/>
  <c r="L54" i="19" s="1"/>
  <c r="K51" i="19"/>
  <c r="K54" i="19" s="1"/>
  <c r="J51" i="19"/>
  <c r="J54" i="19" s="1"/>
  <c r="I51" i="19"/>
  <c r="I54" i="19" s="1"/>
  <c r="H51" i="19"/>
  <c r="H54" i="19" s="1"/>
  <c r="G51" i="19"/>
  <c r="P51" i="19" s="1"/>
  <c r="P50" i="19"/>
  <c r="P49" i="19"/>
  <c r="P48" i="19"/>
  <c r="N42" i="19"/>
  <c r="M42" i="19"/>
  <c r="I42" i="19"/>
  <c r="O39" i="19"/>
  <c r="O42" i="19" s="1"/>
  <c r="N39" i="19"/>
  <c r="M39" i="19"/>
  <c r="L39" i="19"/>
  <c r="L42" i="19" s="1"/>
  <c r="K39" i="19"/>
  <c r="K42" i="19" s="1"/>
  <c r="J39" i="19"/>
  <c r="J42" i="19" s="1"/>
  <c r="I39" i="19"/>
  <c r="H39" i="19"/>
  <c r="H42" i="19" s="1"/>
  <c r="G39" i="19"/>
  <c r="G42" i="19" s="1"/>
  <c r="P38" i="19"/>
  <c r="P37" i="19"/>
  <c r="P36" i="19"/>
  <c r="O30" i="19"/>
  <c r="N30" i="19"/>
  <c r="I30" i="19"/>
  <c r="G30" i="19"/>
  <c r="O27" i="19"/>
  <c r="N27" i="19"/>
  <c r="M27" i="19"/>
  <c r="M30" i="19" s="1"/>
  <c r="L27" i="19"/>
  <c r="L30" i="19" s="1"/>
  <c r="K27" i="19"/>
  <c r="K30" i="19" s="1"/>
  <c r="J27" i="19"/>
  <c r="J30" i="19" s="1"/>
  <c r="I27" i="19"/>
  <c r="H27" i="19"/>
  <c r="P27" i="19" s="1"/>
  <c r="G27" i="19"/>
  <c r="P26" i="19"/>
  <c r="P25" i="19"/>
  <c r="P24" i="19"/>
  <c r="P23" i="19"/>
  <c r="O14" i="19"/>
  <c r="N14" i="19"/>
  <c r="M14" i="19"/>
  <c r="L14" i="19"/>
  <c r="K14" i="19"/>
  <c r="J14" i="19"/>
  <c r="I14" i="19"/>
  <c r="H14" i="19"/>
  <c r="G14" i="19"/>
  <c r="P14" i="19" s="1"/>
  <c r="J15" i="19" s="1"/>
  <c r="P13" i="19"/>
  <c r="P12" i="19"/>
  <c r="C12" i="19"/>
  <c r="C11" i="19"/>
  <c r="C13" i="19" s="1"/>
  <c r="L164" i="18"/>
  <c r="I164" i="18"/>
  <c r="P201" i="18"/>
  <c r="G188" i="18"/>
  <c r="G133" i="17"/>
  <c r="P153" i="19" l="1"/>
  <c r="P72" i="19"/>
  <c r="P269" i="19"/>
  <c r="D267" i="19" s="1"/>
  <c r="P261" i="19"/>
  <c r="D259" i="19" s="1"/>
  <c r="P253" i="19"/>
  <c r="P245" i="19"/>
  <c r="D243" i="19" s="1"/>
  <c r="P237" i="19"/>
  <c r="D235" i="19" s="1"/>
  <c r="P229" i="19"/>
  <c r="D227" i="19" s="1"/>
  <c r="P216" i="19"/>
  <c r="E219" i="19" s="1"/>
  <c r="E205" i="19"/>
  <c r="E204" i="19"/>
  <c r="P188" i="19"/>
  <c r="E193" i="19" s="1"/>
  <c r="E191" i="19"/>
  <c r="E192" i="19"/>
  <c r="P174" i="19"/>
  <c r="D179" i="19" s="1"/>
  <c r="H175" i="19"/>
  <c r="P134" i="19"/>
  <c r="F138" i="19" s="1"/>
  <c r="P73" i="19"/>
  <c r="D70" i="19" s="1"/>
  <c r="G54" i="19"/>
  <c r="K15" i="19"/>
  <c r="L15" i="19"/>
  <c r="M15" i="19"/>
  <c r="H15" i="19"/>
  <c r="I125" i="19"/>
  <c r="D178" i="19"/>
  <c r="E218" i="19"/>
  <c r="D49" i="19"/>
  <c r="D48" i="19"/>
  <c r="D252" i="19"/>
  <c r="D250" i="19"/>
  <c r="D244" i="19"/>
  <c r="D242" i="19"/>
  <c r="E220" i="19"/>
  <c r="D251" i="19"/>
  <c r="E221" i="19"/>
  <c r="D228" i="19"/>
  <c r="D260" i="19"/>
  <c r="D258" i="19"/>
  <c r="D50" i="19"/>
  <c r="D236" i="19"/>
  <c r="D234" i="19"/>
  <c r="D268" i="19"/>
  <c r="D266" i="19"/>
  <c r="N15" i="19"/>
  <c r="D11" i="19"/>
  <c r="G15" i="19"/>
  <c r="O15" i="19"/>
  <c r="P39" i="19"/>
  <c r="D37" i="19" s="1"/>
  <c r="G142" i="19"/>
  <c r="H30" i="19"/>
  <c r="G76" i="19"/>
  <c r="P98" i="19"/>
  <c r="D96" i="19" s="1"/>
  <c r="G175" i="19"/>
  <c r="E207" i="19"/>
  <c r="P109" i="19"/>
  <c r="D106" i="19" s="1"/>
  <c r="D12" i="19"/>
  <c r="I15" i="19"/>
  <c r="P62" i="19"/>
  <c r="D60" i="19" s="1"/>
  <c r="P87" i="19"/>
  <c r="D85" i="19" s="1"/>
  <c r="P258" i="18"/>
  <c r="P260" i="18"/>
  <c r="G120" i="18"/>
  <c r="I123" i="18"/>
  <c r="O269" i="18"/>
  <c r="N269" i="18"/>
  <c r="M269" i="18"/>
  <c r="L269" i="18"/>
  <c r="K269" i="18"/>
  <c r="J269" i="18"/>
  <c r="I269" i="18"/>
  <c r="H269" i="18"/>
  <c r="G269" i="18"/>
  <c r="P268" i="18"/>
  <c r="P267" i="18"/>
  <c r="P266" i="18"/>
  <c r="F136" i="19" l="1"/>
  <c r="F139" i="19"/>
  <c r="F137" i="19"/>
  <c r="D226" i="19"/>
  <c r="E190" i="19"/>
  <c r="D176" i="19"/>
  <c r="D177" i="19"/>
  <c r="D83" i="19"/>
  <c r="D72" i="19"/>
  <c r="D71" i="19"/>
  <c r="D38" i="19"/>
  <c r="D59" i="19"/>
  <c r="D61" i="19"/>
  <c r="D84" i="19"/>
  <c r="D86" i="19"/>
  <c r="P90" i="19"/>
  <c r="D82" i="19"/>
  <c r="D97" i="19"/>
  <c r="D95" i="19"/>
  <c r="D108" i="19"/>
  <c r="D107" i="19"/>
  <c r="D36" i="19"/>
  <c r="D81" i="19"/>
  <c r="D268" i="18"/>
  <c r="P269" i="18"/>
  <c r="D267" i="18" s="1"/>
  <c r="D266" i="18" l="1"/>
  <c r="I124" i="18"/>
  <c r="I125" i="18" s="1"/>
  <c r="P83" i="18"/>
  <c r="P84" i="18"/>
  <c r="P85" i="18"/>
  <c r="P86" i="18"/>
  <c r="O87" i="18"/>
  <c r="O90" i="18" s="1"/>
  <c r="N87" i="18"/>
  <c r="N90" i="18" s="1"/>
  <c r="M87" i="18"/>
  <c r="M90" i="18" s="1"/>
  <c r="L87" i="18"/>
  <c r="L90" i="18" s="1"/>
  <c r="K87" i="18"/>
  <c r="K90" i="18" s="1"/>
  <c r="J87" i="18"/>
  <c r="J90" i="18" s="1"/>
  <c r="I87" i="18"/>
  <c r="I90" i="18" s="1"/>
  <c r="H87" i="18"/>
  <c r="H90" i="18" s="1"/>
  <c r="G87" i="18"/>
  <c r="G90" i="18" s="1"/>
  <c r="P82" i="18"/>
  <c r="P81" i="18"/>
  <c r="O73" i="18"/>
  <c r="O76" i="18" s="1"/>
  <c r="N73" i="18"/>
  <c r="N76" i="18" s="1"/>
  <c r="M73" i="18"/>
  <c r="M76" i="18" s="1"/>
  <c r="L73" i="18"/>
  <c r="L76" i="18" s="1"/>
  <c r="K73" i="18"/>
  <c r="K76" i="18" s="1"/>
  <c r="J73" i="18"/>
  <c r="J76" i="18" s="1"/>
  <c r="I73" i="18"/>
  <c r="I76" i="18" s="1"/>
  <c r="H73" i="18"/>
  <c r="H76" i="18" s="1"/>
  <c r="G73" i="18"/>
  <c r="G76" i="18" s="1"/>
  <c r="P72" i="18"/>
  <c r="P71" i="18"/>
  <c r="P70" i="18"/>
  <c r="O62" i="18"/>
  <c r="O65" i="18" s="1"/>
  <c r="N62" i="18"/>
  <c r="N65" i="18" s="1"/>
  <c r="M62" i="18"/>
  <c r="M65" i="18" s="1"/>
  <c r="L62" i="18"/>
  <c r="L65" i="18" s="1"/>
  <c r="K62" i="18"/>
  <c r="K65" i="18" s="1"/>
  <c r="J62" i="18"/>
  <c r="J65" i="18" s="1"/>
  <c r="I62" i="18"/>
  <c r="I65" i="18" s="1"/>
  <c r="H62" i="18"/>
  <c r="H65" i="18" s="1"/>
  <c r="G62" i="18"/>
  <c r="G65" i="18" s="1"/>
  <c r="P61" i="18"/>
  <c r="P60" i="18"/>
  <c r="P59" i="18"/>
  <c r="H51" i="18"/>
  <c r="H54" i="18" s="1"/>
  <c r="P49" i="18"/>
  <c r="M51" i="18"/>
  <c r="M54" i="18" s="1"/>
  <c r="L51" i="18"/>
  <c r="L54" i="18" s="1"/>
  <c r="K51" i="18"/>
  <c r="K54" i="18" s="1"/>
  <c r="J51" i="18"/>
  <c r="J54" i="18" s="1"/>
  <c r="I51" i="18"/>
  <c r="I54" i="18" s="1"/>
  <c r="G51" i="18"/>
  <c r="G54" i="18" s="1"/>
  <c r="O51" i="18"/>
  <c r="O54" i="18" s="1"/>
  <c r="N51" i="18"/>
  <c r="N54" i="18" s="1"/>
  <c r="P87" i="18" l="1"/>
  <c r="P90" i="18" s="1"/>
  <c r="P73" i="18"/>
  <c r="D70" i="18" s="1"/>
  <c r="P62" i="18"/>
  <c r="D59" i="18" s="1"/>
  <c r="P51" i="18"/>
  <c r="P48" i="18"/>
  <c r="P50" i="18"/>
  <c r="D50" i="18" s="1"/>
  <c r="D48" i="18" l="1"/>
  <c r="D82" i="18"/>
  <c r="D81" i="18"/>
  <c r="D49" i="18"/>
  <c r="D86" i="18"/>
  <c r="D61" i="18"/>
  <c r="D60" i="18"/>
  <c r="D84" i="18"/>
  <c r="D83" i="18"/>
  <c r="D72" i="18"/>
  <c r="D71" i="18"/>
  <c r="D85" i="18"/>
  <c r="O261" i="18" l="1"/>
  <c r="N261" i="18"/>
  <c r="M261" i="18"/>
  <c r="L261" i="18"/>
  <c r="K261" i="18"/>
  <c r="J261" i="18"/>
  <c r="I261" i="18"/>
  <c r="H261" i="18"/>
  <c r="G261" i="18"/>
  <c r="P259" i="18"/>
  <c r="O253" i="18"/>
  <c r="N253" i="18"/>
  <c r="M253" i="18"/>
  <c r="L253" i="18"/>
  <c r="K253" i="18"/>
  <c r="J253" i="18"/>
  <c r="I253" i="18"/>
  <c r="H253" i="18"/>
  <c r="G253" i="18"/>
  <c r="P252" i="18"/>
  <c r="P251" i="18"/>
  <c r="P250" i="18"/>
  <c r="O245" i="18"/>
  <c r="N245" i="18"/>
  <c r="M245" i="18"/>
  <c r="L245" i="18"/>
  <c r="K245" i="18"/>
  <c r="J245" i="18"/>
  <c r="I245" i="18"/>
  <c r="H245" i="18"/>
  <c r="G245" i="18"/>
  <c r="P244" i="18"/>
  <c r="P243" i="18"/>
  <c r="P242" i="18"/>
  <c r="O237" i="18"/>
  <c r="N237" i="18"/>
  <c r="M237" i="18"/>
  <c r="L237" i="18"/>
  <c r="K237" i="18"/>
  <c r="J237" i="18"/>
  <c r="I237" i="18"/>
  <c r="H237" i="18"/>
  <c r="G237" i="18"/>
  <c r="P236" i="18"/>
  <c r="P235" i="18"/>
  <c r="P234" i="18"/>
  <c r="O229" i="18"/>
  <c r="N229" i="18"/>
  <c r="M229" i="18"/>
  <c r="L229" i="18"/>
  <c r="K229" i="18"/>
  <c r="J229" i="18"/>
  <c r="I229" i="18"/>
  <c r="H229" i="18"/>
  <c r="G229" i="18"/>
  <c r="P228" i="18"/>
  <c r="P227" i="18"/>
  <c r="P226" i="18"/>
  <c r="O216" i="18"/>
  <c r="N216" i="18"/>
  <c r="M216" i="18"/>
  <c r="L216" i="18"/>
  <c r="K216" i="18"/>
  <c r="J216" i="18"/>
  <c r="I216" i="18"/>
  <c r="H216" i="18"/>
  <c r="G216" i="18"/>
  <c r="P215" i="18"/>
  <c r="P214" i="18"/>
  <c r="P213" i="18"/>
  <c r="P212" i="18"/>
  <c r="O202" i="18"/>
  <c r="N202" i="18"/>
  <c r="M202" i="18"/>
  <c r="L202" i="18"/>
  <c r="K202" i="18"/>
  <c r="J202" i="18"/>
  <c r="I202" i="18"/>
  <c r="H202" i="18"/>
  <c r="G202" i="18"/>
  <c r="P200" i="18"/>
  <c r="P199" i="18"/>
  <c r="P198" i="18"/>
  <c r="O188" i="18"/>
  <c r="N188" i="18"/>
  <c r="M188" i="18"/>
  <c r="L188" i="18"/>
  <c r="K188" i="18"/>
  <c r="J188" i="18"/>
  <c r="I188" i="18"/>
  <c r="H188" i="18"/>
  <c r="P187" i="18"/>
  <c r="P186" i="18"/>
  <c r="P185" i="18"/>
  <c r="P184" i="18"/>
  <c r="O174" i="18"/>
  <c r="O175" i="18" s="1"/>
  <c r="N174" i="18"/>
  <c r="N175" i="18" s="1"/>
  <c r="M174" i="18"/>
  <c r="M175" i="18" s="1"/>
  <c r="L174" i="18"/>
  <c r="L175" i="18" s="1"/>
  <c r="K174" i="18"/>
  <c r="K175" i="18" s="1"/>
  <c r="J174" i="18"/>
  <c r="J175" i="18" s="1"/>
  <c r="I174" i="18"/>
  <c r="I175" i="18" s="1"/>
  <c r="H174" i="18"/>
  <c r="H175" i="18" s="1"/>
  <c r="G174" i="18"/>
  <c r="G175" i="18" s="1"/>
  <c r="P173" i="18"/>
  <c r="P172" i="18"/>
  <c r="P171" i="18"/>
  <c r="P170" i="18"/>
  <c r="P152" i="18"/>
  <c r="P151" i="18"/>
  <c r="O134" i="18"/>
  <c r="O142" i="18" s="1"/>
  <c r="N134" i="18"/>
  <c r="N142" i="18" s="1"/>
  <c r="M134" i="18"/>
  <c r="M142" i="18" s="1"/>
  <c r="L134" i="18"/>
  <c r="L142" i="18" s="1"/>
  <c r="K134" i="18"/>
  <c r="K142" i="18" s="1"/>
  <c r="J134" i="18"/>
  <c r="J142" i="18" s="1"/>
  <c r="I134" i="18"/>
  <c r="I142" i="18" s="1"/>
  <c r="H134" i="18"/>
  <c r="H142" i="18" s="1"/>
  <c r="G134" i="18"/>
  <c r="G142" i="18" s="1"/>
  <c r="P133" i="18"/>
  <c r="P132" i="18"/>
  <c r="P131" i="18"/>
  <c r="P130" i="18"/>
  <c r="O120" i="18"/>
  <c r="N120" i="18"/>
  <c r="M120" i="18"/>
  <c r="L120" i="18"/>
  <c r="K120" i="18"/>
  <c r="J120" i="18"/>
  <c r="I120" i="18"/>
  <c r="H120" i="18"/>
  <c r="P119" i="18"/>
  <c r="P118" i="18"/>
  <c r="O109" i="18"/>
  <c r="O112" i="18" s="1"/>
  <c r="N109" i="18"/>
  <c r="N112" i="18" s="1"/>
  <c r="M109" i="18"/>
  <c r="M112" i="18" s="1"/>
  <c r="L109" i="18"/>
  <c r="L112" i="18" s="1"/>
  <c r="K109" i="18"/>
  <c r="K112" i="18" s="1"/>
  <c r="J109" i="18"/>
  <c r="J112" i="18" s="1"/>
  <c r="I109" i="18"/>
  <c r="I112" i="18" s="1"/>
  <c r="H109" i="18"/>
  <c r="H112" i="18" s="1"/>
  <c r="G109" i="18"/>
  <c r="G112" i="18" s="1"/>
  <c r="P108" i="18"/>
  <c r="P107" i="18"/>
  <c r="P106" i="18"/>
  <c r="O98" i="18"/>
  <c r="O101" i="18" s="1"/>
  <c r="N98" i="18"/>
  <c r="N101" i="18" s="1"/>
  <c r="M98" i="18"/>
  <c r="M101" i="18" s="1"/>
  <c r="L98" i="18"/>
  <c r="L101" i="18" s="1"/>
  <c r="K98" i="18"/>
  <c r="K101" i="18" s="1"/>
  <c r="J98" i="18"/>
  <c r="J101" i="18" s="1"/>
  <c r="I98" i="18"/>
  <c r="I101" i="18" s="1"/>
  <c r="H98" i="18"/>
  <c r="H101" i="18" s="1"/>
  <c r="G98" i="18"/>
  <c r="G101" i="18" s="1"/>
  <c r="P97" i="18"/>
  <c r="P96" i="18"/>
  <c r="P95" i="18"/>
  <c r="O39" i="18"/>
  <c r="O42" i="18" s="1"/>
  <c r="N39" i="18"/>
  <c r="N42" i="18" s="1"/>
  <c r="M39" i="18"/>
  <c r="M42" i="18" s="1"/>
  <c r="L39" i="18"/>
  <c r="L42" i="18" s="1"/>
  <c r="K39" i="18"/>
  <c r="K42" i="18" s="1"/>
  <c r="J39" i="18"/>
  <c r="J42" i="18" s="1"/>
  <c r="I39" i="18"/>
  <c r="I42" i="18" s="1"/>
  <c r="H39" i="18"/>
  <c r="H42" i="18" s="1"/>
  <c r="G39" i="18"/>
  <c r="P38" i="18"/>
  <c r="P37" i="18"/>
  <c r="P36" i="18"/>
  <c r="O27" i="18"/>
  <c r="O30" i="18" s="1"/>
  <c r="N27" i="18"/>
  <c r="N30" i="18" s="1"/>
  <c r="M27" i="18"/>
  <c r="M30" i="18" s="1"/>
  <c r="L27" i="18"/>
  <c r="L30" i="18" s="1"/>
  <c r="K27" i="18"/>
  <c r="K30" i="18" s="1"/>
  <c r="J27" i="18"/>
  <c r="J30" i="18" s="1"/>
  <c r="I27" i="18"/>
  <c r="I30" i="18" s="1"/>
  <c r="H27" i="18"/>
  <c r="H30" i="18" s="1"/>
  <c r="G27" i="18"/>
  <c r="G30" i="18" s="1"/>
  <c r="P26" i="18"/>
  <c r="P25" i="18"/>
  <c r="P24" i="18"/>
  <c r="P23" i="18"/>
  <c r="P22" i="18"/>
  <c r="O14" i="18"/>
  <c r="N14" i="18"/>
  <c r="M14" i="18"/>
  <c r="L14" i="18"/>
  <c r="K14" i="18"/>
  <c r="J14" i="18"/>
  <c r="I14" i="18"/>
  <c r="H14" i="18"/>
  <c r="G14" i="18"/>
  <c r="P13" i="18"/>
  <c r="C12" i="18" s="1"/>
  <c r="P12" i="18"/>
  <c r="D235" i="18" l="1"/>
  <c r="E219" i="18"/>
  <c r="D236" i="18"/>
  <c r="D234" i="18"/>
  <c r="D176" i="18"/>
  <c r="D177" i="18"/>
  <c r="D178" i="18"/>
  <c r="D226" i="18"/>
  <c r="D242" i="18"/>
  <c r="P14" i="18"/>
  <c r="G15" i="18" s="1"/>
  <c r="D228" i="18"/>
  <c r="D179" i="18"/>
  <c r="D227" i="18"/>
  <c r="C11" i="18"/>
  <c r="C13" i="18" s="1"/>
  <c r="P202" i="18"/>
  <c r="P39" i="18"/>
  <c r="D37" i="18" s="1"/>
  <c r="P153" i="18"/>
  <c r="P120" i="18"/>
  <c r="P216" i="18"/>
  <c r="E221" i="18" s="1"/>
  <c r="P261" i="18"/>
  <c r="G42" i="18"/>
  <c r="P237" i="18"/>
  <c r="P109" i="18"/>
  <c r="D107" i="18" s="1"/>
  <c r="P188" i="18"/>
  <c r="E193" i="18" s="1"/>
  <c r="P229" i="18"/>
  <c r="P245" i="18"/>
  <c r="D243" i="18" s="1"/>
  <c r="P253" i="18"/>
  <c r="D250" i="18" s="1"/>
  <c r="P134" i="18"/>
  <c r="F136" i="18" s="1"/>
  <c r="P174" i="18"/>
  <c r="P98" i="18"/>
  <c r="D97" i="18" s="1"/>
  <c r="D11" i="18"/>
  <c r="P27" i="18"/>
  <c r="J27" i="1"/>
  <c r="I27" i="1"/>
  <c r="H27" i="1"/>
  <c r="J26" i="1"/>
  <c r="I26" i="1"/>
  <c r="H26" i="1"/>
  <c r="J25" i="1"/>
  <c r="I25" i="1"/>
  <c r="H25" i="1"/>
  <c r="J24" i="1"/>
  <c r="I24" i="1"/>
  <c r="H24" i="1"/>
  <c r="J23" i="1"/>
  <c r="I23" i="1"/>
  <c r="H23" i="1"/>
  <c r="J22" i="1"/>
  <c r="I22" i="1"/>
  <c r="H22" i="1"/>
  <c r="J21" i="1"/>
  <c r="I21" i="1"/>
  <c r="H21" i="1"/>
  <c r="G21" i="1"/>
  <c r="F21" i="1"/>
  <c r="D21" i="1"/>
  <c r="C21" i="1"/>
  <c r="B21" i="1"/>
  <c r="J20" i="1"/>
  <c r="I20" i="1"/>
  <c r="H20" i="1"/>
  <c r="G20" i="1"/>
  <c r="F20" i="1"/>
  <c r="D20" i="1"/>
  <c r="C20" i="1"/>
  <c r="B20" i="1"/>
  <c r="J19" i="1"/>
  <c r="I19" i="1"/>
  <c r="H19" i="1"/>
  <c r="G19" i="1"/>
  <c r="F19" i="1"/>
  <c r="E19" i="1"/>
  <c r="D19" i="1"/>
  <c r="C19" i="1"/>
  <c r="B19" i="1"/>
  <c r="J18" i="1"/>
  <c r="I18" i="1"/>
  <c r="H18" i="1"/>
  <c r="G18" i="1"/>
  <c r="F18" i="1"/>
  <c r="E18" i="1"/>
  <c r="D18" i="1"/>
  <c r="C18" i="1"/>
  <c r="B18" i="1"/>
  <c r="J16" i="1"/>
  <c r="I16" i="1"/>
  <c r="H16" i="1"/>
  <c r="G16" i="1"/>
  <c r="F16" i="1"/>
  <c r="E16" i="1"/>
  <c r="D16" i="1"/>
  <c r="C16" i="1"/>
  <c r="B16" i="1"/>
  <c r="J14" i="1"/>
  <c r="I14" i="1"/>
  <c r="H14" i="1"/>
  <c r="G14" i="1"/>
  <c r="E14" i="1"/>
  <c r="J9" i="1"/>
  <c r="I9" i="1"/>
  <c r="H9" i="1"/>
  <c r="G9" i="1"/>
  <c r="F9" i="1"/>
  <c r="E9" i="1"/>
  <c r="D9" i="1"/>
  <c r="C9" i="1"/>
  <c r="B9" i="1"/>
  <c r="J8" i="1"/>
  <c r="I8" i="1"/>
  <c r="H8" i="1"/>
  <c r="G8" i="1"/>
  <c r="F8" i="1"/>
  <c r="E8" i="1"/>
  <c r="D8" i="1"/>
  <c r="C8" i="1"/>
  <c r="B8" i="1"/>
  <c r="J7" i="1"/>
  <c r="I7" i="1"/>
  <c r="H7" i="1"/>
  <c r="G7" i="1"/>
  <c r="F7" i="1"/>
  <c r="E7" i="1"/>
  <c r="D7" i="1"/>
  <c r="C7" i="1"/>
  <c r="B7" i="1"/>
  <c r="J5" i="1"/>
  <c r="I5" i="1"/>
  <c r="H5" i="1"/>
  <c r="G5" i="1"/>
  <c r="F5" i="1"/>
  <c r="E5" i="1"/>
  <c r="D5" i="1"/>
  <c r="C5" i="1"/>
  <c r="B5" i="1"/>
  <c r="D251" i="18" l="1"/>
  <c r="D258" i="18"/>
  <c r="D260" i="18"/>
  <c r="F138" i="18"/>
  <c r="E218" i="18"/>
  <c r="D106" i="18"/>
  <c r="F137" i="18"/>
  <c r="D244" i="18"/>
  <c r="E220" i="18"/>
  <c r="E191" i="18"/>
  <c r="D252" i="18"/>
  <c r="E192" i="18"/>
  <c r="E190" i="18"/>
  <c r="F139" i="18"/>
  <c r="D259" i="18"/>
  <c r="E206" i="18"/>
  <c r="E205" i="18"/>
  <c r="E204" i="18"/>
  <c r="E207" i="18"/>
  <c r="D95" i="18"/>
  <c r="D108" i="18"/>
  <c r="D36" i="18"/>
  <c r="D38" i="18"/>
  <c r="K15" i="18"/>
  <c r="O15" i="18"/>
  <c r="D12" i="18"/>
  <c r="D96" i="18"/>
  <c r="H15" i="18"/>
  <c r="I15" i="18"/>
  <c r="N15" i="18"/>
  <c r="M15" i="18"/>
  <c r="J15" i="18"/>
  <c r="L15" i="18"/>
  <c r="O206" i="17"/>
  <c r="N206" i="17"/>
  <c r="M206" i="17"/>
  <c r="L206" i="17"/>
  <c r="K206" i="17"/>
  <c r="J206" i="17"/>
  <c r="I206" i="17"/>
  <c r="H206" i="17"/>
  <c r="G206" i="17"/>
  <c r="P205" i="17"/>
  <c r="P204" i="17"/>
  <c r="P203" i="17"/>
  <c r="O198" i="17"/>
  <c r="N198" i="17"/>
  <c r="M198" i="17"/>
  <c r="L198" i="17"/>
  <c r="K198" i="17"/>
  <c r="J198" i="17"/>
  <c r="I198" i="17"/>
  <c r="H198" i="17"/>
  <c r="G198" i="17"/>
  <c r="P197" i="17"/>
  <c r="P196" i="17"/>
  <c r="P195" i="17"/>
  <c r="O190" i="17"/>
  <c r="N190" i="17"/>
  <c r="M190" i="17"/>
  <c r="L190" i="17"/>
  <c r="K190" i="17"/>
  <c r="J190" i="17"/>
  <c r="I190" i="17"/>
  <c r="H190" i="17"/>
  <c r="G190" i="17"/>
  <c r="P189" i="17"/>
  <c r="P188" i="17"/>
  <c r="P187" i="17"/>
  <c r="O182" i="17"/>
  <c r="N182" i="17"/>
  <c r="M182" i="17"/>
  <c r="L182" i="17"/>
  <c r="K182" i="17"/>
  <c r="J182" i="17"/>
  <c r="I182" i="17"/>
  <c r="H182" i="17"/>
  <c r="G182" i="17"/>
  <c r="P181" i="17"/>
  <c r="P180" i="17"/>
  <c r="P179" i="17"/>
  <c r="O174" i="17"/>
  <c r="N174" i="17"/>
  <c r="M174" i="17"/>
  <c r="L174" i="17"/>
  <c r="K174" i="17"/>
  <c r="J174" i="17"/>
  <c r="I174" i="17"/>
  <c r="H174" i="17"/>
  <c r="G174" i="17"/>
  <c r="P173" i="17"/>
  <c r="P172" i="17"/>
  <c r="P171" i="17"/>
  <c r="O161" i="17"/>
  <c r="N161" i="17"/>
  <c r="M161" i="17"/>
  <c r="L161" i="17"/>
  <c r="K161" i="17"/>
  <c r="J161" i="17"/>
  <c r="I161" i="17"/>
  <c r="H161" i="17"/>
  <c r="G161" i="17"/>
  <c r="P160" i="17"/>
  <c r="P159" i="17"/>
  <c r="P158" i="17"/>
  <c r="P157" i="17"/>
  <c r="O147" i="17"/>
  <c r="N147" i="17"/>
  <c r="M147" i="17"/>
  <c r="L147" i="17"/>
  <c r="K147" i="17"/>
  <c r="J147" i="17"/>
  <c r="I147" i="17"/>
  <c r="H147" i="17"/>
  <c r="G147" i="17"/>
  <c r="P146" i="17"/>
  <c r="P145" i="17"/>
  <c r="P144" i="17"/>
  <c r="P143" i="17"/>
  <c r="P147" i="17" s="1"/>
  <c r="E149" i="17" s="1"/>
  <c r="O133" i="17"/>
  <c r="N133" i="17"/>
  <c r="M133" i="17"/>
  <c r="L133" i="17"/>
  <c r="K133" i="17"/>
  <c r="J133" i="17"/>
  <c r="I133" i="17"/>
  <c r="H133" i="17"/>
  <c r="P133" i="17" s="1"/>
  <c r="P132" i="17"/>
  <c r="P131" i="17"/>
  <c r="P130" i="17"/>
  <c r="P129" i="17"/>
  <c r="J120" i="17"/>
  <c r="O119" i="17"/>
  <c r="O120" i="17" s="1"/>
  <c r="N119" i="17"/>
  <c r="N120" i="17" s="1"/>
  <c r="M119" i="17"/>
  <c r="M120" i="17" s="1"/>
  <c r="L119" i="17"/>
  <c r="L120" i="17" s="1"/>
  <c r="K119" i="17"/>
  <c r="K120" i="17" s="1"/>
  <c r="J119" i="17"/>
  <c r="I119" i="17"/>
  <c r="I120" i="17" s="1"/>
  <c r="H119" i="17"/>
  <c r="H120" i="17" s="1"/>
  <c r="G119" i="17"/>
  <c r="G120" i="17" s="1"/>
  <c r="P118" i="17"/>
  <c r="P117" i="17"/>
  <c r="P116" i="17"/>
  <c r="P115" i="17"/>
  <c r="L109" i="17"/>
  <c r="I109" i="17"/>
  <c r="O98" i="17"/>
  <c r="N98" i="17"/>
  <c r="M98" i="17"/>
  <c r="L98" i="17"/>
  <c r="K98" i="17"/>
  <c r="J98" i="17"/>
  <c r="I98" i="17"/>
  <c r="H98" i="17"/>
  <c r="G98" i="17"/>
  <c r="P97" i="17"/>
  <c r="P96" i="17"/>
  <c r="I90" i="17"/>
  <c r="O82" i="17"/>
  <c r="O90" i="17" s="1"/>
  <c r="N82" i="17"/>
  <c r="N90" i="17" s="1"/>
  <c r="M82" i="17"/>
  <c r="M90" i="17" s="1"/>
  <c r="L82" i="17"/>
  <c r="L90" i="17" s="1"/>
  <c r="K82" i="17"/>
  <c r="K90" i="17" s="1"/>
  <c r="J82" i="17"/>
  <c r="J90" i="17" s="1"/>
  <c r="I82" i="17"/>
  <c r="H82" i="17"/>
  <c r="H90" i="17" s="1"/>
  <c r="G82" i="17"/>
  <c r="G90" i="17" s="1"/>
  <c r="P81" i="17"/>
  <c r="P80" i="17"/>
  <c r="P79" i="17"/>
  <c r="P78" i="17"/>
  <c r="O73" i="17"/>
  <c r="N73" i="17"/>
  <c r="M73" i="17"/>
  <c r="L73" i="17"/>
  <c r="K73" i="17"/>
  <c r="J73" i="17"/>
  <c r="I73" i="17"/>
  <c r="H73" i="17"/>
  <c r="G73" i="17"/>
  <c r="P72" i="17"/>
  <c r="P71" i="17"/>
  <c r="N66" i="17"/>
  <c r="K66" i="17"/>
  <c r="O63" i="17"/>
  <c r="O66" i="17" s="1"/>
  <c r="N63" i="17"/>
  <c r="M63" i="17"/>
  <c r="M66" i="17" s="1"/>
  <c r="L63" i="17"/>
  <c r="L66" i="17" s="1"/>
  <c r="K63" i="17"/>
  <c r="J63" i="17"/>
  <c r="J66" i="17" s="1"/>
  <c r="I63" i="17"/>
  <c r="I66" i="17" s="1"/>
  <c r="H63" i="17"/>
  <c r="H66" i="17" s="1"/>
  <c r="G63" i="17"/>
  <c r="P62" i="17"/>
  <c r="P61" i="17"/>
  <c r="P60" i="17"/>
  <c r="N55" i="17"/>
  <c r="L55" i="17"/>
  <c r="G55" i="17"/>
  <c r="O52" i="17"/>
  <c r="O55" i="17" s="1"/>
  <c r="N52" i="17"/>
  <c r="M52" i="17"/>
  <c r="M55" i="17" s="1"/>
  <c r="L52" i="17"/>
  <c r="K52" i="17"/>
  <c r="K55" i="17" s="1"/>
  <c r="J52" i="17"/>
  <c r="J55" i="17" s="1"/>
  <c r="I52" i="17"/>
  <c r="I55" i="17" s="1"/>
  <c r="H52" i="17"/>
  <c r="H55" i="17" s="1"/>
  <c r="G52" i="17"/>
  <c r="P51" i="17"/>
  <c r="P50" i="17"/>
  <c r="P49" i="17"/>
  <c r="M43" i="17"/>
  <c r="H43" i="17"/>
  <c r="G43" i="17"/>
  <c r="O40" i="17"/>
  <c r="O43" i="17" s="1"/>
  <c r="N40" i="17"/>
  <c r="N43" i="17" s="1"/>
  <c r="M40" i="17"/>
  <c r="L40" i="17"/>
  <c r="L43" i="17" s="1"/>
  <c r="K40" i="17"/>
  <c r="K43" i="17" s="1"/>
  <c r="J40" i="17"/>
  <c r="J43" i="17" s="1"/>
  <c r="I40" i="17"/>
  <c r="I43" i="17" s="1"/>
  <c r="H40" i="17"/>
  <c r="G40" i="17"/>
  <c r="P39" i="17"/>
  <c r="P38" i="17"/>
  <c r="P37" i="17"/>
  <c r="I31" i="17"/>
  <c r="O28" i="17"/>
  <c r="O31" i="17" s="1"/>
  <c r="N28" i="17"/>
  <c r="N31" i="17" s="1"/>
  <c r="M28" i="17"/>
  <c r="M31" i="17" s="1"/>
  <c r="L28" i="17"/>
  <c r="L31" i="17" s="1"/>
  <c r="K28" i="17"/>
  <c r="K31" i="17" s="1"/>
  <c r="J28" i="17"/>
  <c r="J31" i="17" s="1"/>
  <c r="I28" i="17"/>
  <c r="H28" i="17"/>
  <c r="H31" i="17" s="1"/>
  <c r="G28" i="17"/>
  <c r="G31" i="17" s="1"/>
  <c r="P27" i="17"/>
  <c r="P26" i="17"/>
  <c r="P25" i="17"/>
  <c r="P24" i="17"/>
  <c r="P23" i="17"/>
  <c r="O15" i="17"/>
  <c r="N15" i="17"/>
  <c r="M15" i="17"/>
  <c r="L15" i="17"/>
  <c r="K15" i="17"/>
  <c r="J15" i="17"/>
  <c r="I15" i="17"/>
  <c r="H15" i="17"/>
  <c r="G15" i="17"/>
  <c r="P14" i="17"/>
  <c r="C13" i="17" s="1"/>
  <c r="P13" i="17"/>
  <c r="P12" i="17"/>
  <c r="P98" i="17" l="1"/>
  <c r="P161" i="17"/>
  <c r="E163" i="17" s="1"/>
  <c r="P182" i="17"/>
  <c r="P198" i="17"/>
  <c r="D37" i="17"/>
  <c r="P73" i="17"/>
  <c r="E152" i="17"/>
  <c r="P82" i="17"/>
  <c r="D51" i="17"/>
  <c r="F87" i="17"/>
  <c r="P40" i="17"/>
  <c r="D39" i="17" s="1"/>
  <c r="P174" i="17"/>
  <c r="P190" i="17"/>
  <c r="P206" i="17"/>
  <c r="P52" i="17"/>
  <c r="D49" i="17" s="1"/>
  <c r="P63" i="17"/>
  <c r="D179" i="17" s="1"/>
  <c r="F86" i="17"/>
  <c r="E164" i="17"/>
  <c r="E136" i="17"/>
  <c r="E138" i="17"/>
  <c r="E137" i="17"/>
  <c r="E135" i="17"/>
  <c r="J16" i="17"/>
  <c r="D60" i="17"/>
  <c r="D171" i="17"/>
  <c r="D203" i="17"/>
  <c r="D172" i="17"/>
  <c r="D195" i="17"/>
  <c r="D187" i="17"/>
  <c r="D205" i="17"/>
  <c r="D197" i="17"/>
  <c r="D189" i="17"/>
  <c r="D196" i="17"/>
  <c r="D188" i="17"/>
  <c r="D180" i="17"/>
  <c r="D61" i="17"/>
  <c r="F84" i="17"/>
  <c r="D12" i="17"/>
  <c r="D62" i="17"/>
  <c r="F85" i="17"/>
  <c r="D50" i="17"/>
  <c r="C11" i="17"/>
  <c r="P119" i="17"/>
  <c r="D121" i="17" s="1"/>
  <c r="E151" i="17"/>
  <c r="E150" i="17"/>
  <c r="P15" i="17"/>
  <c r="K16" i="17" s="1"/>
  <c r="P28" i="17"/>
  <c r="C12" i="17"/>
  <c r="D38" i="17" l="1"/>
  <c r="O16" i="17"/>
  <c r="E165" i="17"/>
  <c r="L16" i="17"/>
  <c r="D173" i="17"/>
  <c r="D204" i="17"/>
  <c r="G16" i="17"/>
  <c r="E166" i="17"/>
  <c r="D181" i="17"/>
  <c r="D123" i="17"/>
  <c r="D124" i="17"/>
  <c r="N16" i="17"/>
  <c r="H16" i="17"/>
  <c r="D13" i="17"/>
  <c r="I16" i="17"/>
  <c r="D11" i="17"/>
  <c r="D122" i="17"/>
  <c r="M16" i="17"/>
  <c r="N230" i="16" l="1"/>
  <c r="M230" i="16"/>
  <c r="L230" i="16"/>
  <c r="K230" i="16"/>
  <c r="J230" i="16"/>
  <c r="I230" i="16"/>
  <c r="H230" i="16"/>
  <c r="G230" i="16"/>
  <c r="O229" i="16"/>
  <c r="O228" i="16"/>
  <c r="O227" i="16"/>
  <c r="N217" i="16"/>
  <c r="M217" i="16"/>
  <c r="L217" i="16"/>
  <c r="K217" i="16"/>
  <c r="J217" i="16"/>
  <c r="I217" i="16"/>
  <c r="H217" i="16"/>
  <c r="G217" i="16"/>
  <c r="O216" i="16"/>
  <c r="O215" i="16"/>
  <c r="O214" i="16"/>
  <c r="N204" i="16"/>
  <c r="M204" i="16"/>
  <c r="L204" i="16"/>
  <c r="K204" i="16"/>
  <c r="J204" i="16"/>
  <c r="I204" i="16"/>
  <c r="H204" i="16"/>
  <c r="G204" i="16"/>
  <c r="O203" i="16"/>
  <c r="O202" i="16"/>
  <c r="O201" i="16"/>
  <c r="N191" i="16"/>
  <c r="M191" i="16"/>
  <c r="L191" i="16"/>
  <c r="K191" i="16"/>
  <c r="J191" i="16"/>
  <c r="I191" i="16"/>
  <c r="H191" i="16"/>
  <c r="G191" i="16"/>
  <c r="O190" i="16"/>
  <c r="O189" i="16"/>
  <c r="O188" i="16"/>
  <c r="O191" i="16" s="1"/>
  <c r="O178" i="16"/>
  <c r="E182" i="16" s="1"/>
  <c r="N178" i="16"/>
  <c r="M178" i="16"/>
  <c r="L178" i="16"/>
  <c r="K178" i="16"/>
  <c r="J178" i="16"/>
  <c r="I178" i="16"/>
  <c r="H178" i="16"/>
  <c r="G178" i="16"/>
  <c r="O177" i="16"/>
  <c r="O176" i="16"/>
  <c r="O175" i="16"/>
  <c r="O230" i="16" l="1"/>
  <c r="E194" i="16"/>
  <c r="E196" i="16"/>
  <c r="E195" i="16"/>
  <c r="E234" i="16"/>
  <c r="E221" i="16"/>
  <c r="E207" i="16"/>
  <c r="E235" i="16"/>
  <c r="E183" i="16"/>
  <c r="O217" i="16"/>
  <c r="E222" i="16" s="1"/>
  <c r="E233" i="16"/>
  <c r="E181" i="16"/>
  <c r="O204" i="16"/>
  <c r="N161" i="16"/>
  <c r="M161" i="16"/>
  <c r="L161" i="16"/>
  <c r="K161" i="16"/>
  <c r="J161" i="16"/>
  <c r="I161" i="16"/>
  <c r="H161" i="16"/>
  <c r="G161" i="16"/>
  <c r="O160" i="16"/>
  <c r="O159" i="16"/>
  <c r="O161" i="16" s="1"/>
  <c r="E163" i="16" s="1"/>
  <c r="O158" i="16"/>
  <c r="O157" i="16"/>
  <c r="N147" i="16"/>
  <c r="M147" i="16"/>
  <c r="L147" i="16"/>
  <c r="K147" i="16"/>
  <c r="J147" i="16"/>
  <c r="I147" i="16"/>
  <c r="H147" i="16"/>
  <c r="G147" i="16"/>
  <c r="O146" i="16"/>
  <c r="O145" i="16"/>
  <c r="O144" i="16"/>
  <c r="O143" i="16"/>
  <c r="O147" i="16" s="1"/>
  <c r="N133" i="16"/>
  <c r="M133" i="16"/>
  <c r="L133" i="16"/>
  <c r="K133" i="16"/>
  <c r="J133" i="16"/>
  <c r="I133" i="16"/>
  <c r="H133" i="16"/>
  <c r="G133" i="16"/>
  <c r="O132" i="16"/>
  <c r="O131" i="16"/>
  <c r="O130" i="16"/>
  <c r="O129" i="16"/>
  <c r="I120" i="16"/>
  <c r="N119" i="16"/>
  <c r="N120" i="16" s="1"/>
  <c r="M119" i="16"/>
  <c r="M120" i="16" s="1"/>
  <c r="L119" i="16"/>
  <c r="L120" i="16" s="1"/>
  <c r="K119" i="16"/>
  <c r="K120" i="16" s="1"/>
  <c r="J119" i="16"/>
  <c r="J120" i="16" s="1"/>
  <c r="I119" i="16"/>
  <c r="H119" i="16"/>
  <c r="H120" i="16" s="1"/>
  <c r="G119" i="16"/>
  <c r="O118" i="16"/>
  <c r="O117" i="16"/>
  <c r="O116" i="16"/>
  <c r="O115" i="16"/>
  <c r="K109" i="16"/>
  <c r="H109" i="16"/>
  <c r="N98" i="16"/>
  <c r="M98" i="16"/>
  <c r="L98" i="16"/>
  <c r="K98" i="16"/>
  <c r="J98" i="16"/>
  <c r="I98" i="16"/>
  <c r="H98" i="16"/>
  <c r="G98" i="16"/>
  <c r="O97" i="16"/>
  <c r="O96" i="16"/>
  <c r="N90" i="16"/>
  <c r="M90" i="16"/>
  <c r="L90" i="16"/>
  <c r="K90" i="16"/>
  <c r="N82" i="16"/>
  <c r="M82" i="16"/>
  <c r="L82" i="16"/>
  <c r="K82" i="16"/>
  <c r="J82" i="16"/>
  <c r="J90" i="16" s="1"/>
  <c r="I82" i="16"/>
  <c r="I90" i="16" s="1"/>
  <c r="H82" i="16"/>
  <c r="H90" i="16" s="1"/>
  <c r="G82" i="16"/>
  <c r="G90" i="16" s="1"/>
  <c r="O81" i="16"/>
  <c r="O80" i="16"/>
  <c r="O79" i="16"/>
  <c r="O78" i="16"/>
  <c r="O82" i="16" s="1"/>
  <c r="N72" i="16"/>
  <c r="M72" i="16"/>
  <c r="L72" i="16"/>
  <c r="K72" i="16"/>
  <c r="J72" i="16"/>
  <c r="I72" i="16"/>
  <c r="H72" i="16"/>
  <c r="G72" i="16"/>
  <c r="O71" i="16"/>
  <c r="O70" i="16"/>
  <c r="L65" i="16"/>
  <c r="G65" i="16"/>
  <c r="N62" i="16"/>
  <c r="N65" i="16" s="1"/>
  <c r="M62" i="16"/>
  <c r="M65" i="16" s="1"/>
  <c r="L62" i="16"/>
  <c r="K62" i="16"/>
  <c r="K65" i="16" s="1"/>
  <c r="J62" i="16"/>
  <c r="J65" i="16" s="1"/>
  <c r="I62" i="16"/>
  <c r="I65" i="16" s="1"/>
  <c r="H62" i="16"/>
  <c r="H65" i="16" s="1"/>
  <c r="G62" i="16"/>
  <c r="O61" i="16"/>
  <c r="O60" i="16"/>
  <c r="O59" i="16"/>
  <c r="O62" i="16" s="1"/>
  <c r="K54" i="16"/>
  <c r="N51" i="16"/>
  <c r="N54" i="16" s="1"/>
  <c r="M51" i="16"/>
  <c r="M54" i="16" s="1"/>
  <c r="L51" i="16"/>
  <c r="L54" i="16" s="1"/>
  <c r="K51" i="16"/>
  <c r="J51" i="16"/>
  <c r="J54" i="16" s="1"/>
  <c r="I51" i="16"/>
  <c r="I54" i="16" s="1"/>
  <c r="H51" i="16"/>
  <c r="H54" i="16" s="1"/>
  <c r="G51" i="16"/>
  <c r="G54" i="16" s="1"/>
  <c r="O50" i="16"/>
  <c r="O49" i="16"/>
  <c r="O51" i="16" s="1"/>
  <c r="D48" i="16" s="1"/>
  <c r="O48" i="16"/>
  <c r="N39" i="16"/>
  <c r="N42" i="16" s="1"/>
  <c r="M39" i="16"/>
  <c r="M42" i="16" s="1"/>
  <c r="L39" i="16"/>
  <c r="L42" i="16" s="1"/>
  <c r="K39" i="16"/>
  <c r="K42" i="16" s="1"/>
  <c r="J39" i="16"/>
  <c r="J42" i="16" s="1"/>
  <c r="I39" i="16"/>
  <c r="I42" i="16" s="1"/>
  <c r="H39" i="16"/>
  <c r="H42" i="16" s="1"/>
  <c r="G39" i="16"/>
  <c r="G42" i="16" s="1"/>
  <c r="O38" i="16"/>
  <c r="O37" i="16"/>
  <c r="O36" i="16"/>
  <c r="L30" i="16"/>
  <c r="I30" i="16"/>
  <c r="N27" i="16"/>
  <c r="N30" i="16" s="1"/>
  <c r="M27" i="16"/>
  <c r="M30" i="16" s="1"/>
  <c r="L27" i="16"/>
  <c r="K27" i="16"/>
  <c r="K30" i="16" s="1"/>
  <c r="J27" i="16"/>
  <c r="J30" i="16" s="1"/>
  <c r="I27" i="16"/>
  <c r="H27" i="16"/>
  <c r="H30" i="16" s="1"/>
  <c r="G27" i="16"/>
  <c r="G30" i="16" s="1"/>
  <c r="O26" i="16"/>
  <c r="O25" i="16"/>
  <c r="O24" i="16"/>
  <c r="O23" i="16"/>
  <c r="O22" i="16"/>
  <c r="N14" i="16"/>
  <c r="M14" i="16"/>
  <c r="L14" i="16"/>
  <c r="K14" i="16"/>
  <c r="J14" i="16"/>
  <c r="I14" i="16"/>
  <c r="H14" i="16"/>
  <c r="G14" i="16"/>
  <c r="O13" i="16"/>
  <c r="C12" i="16" s="1"/>
  <c r="O12" i="16"/>
  <c r="C11" i="16" s="1"/>
  <c r="E166" i="16" l="1"/>
  <c r="D49" i="16"/>
  <c r="O72" i="16"/>
  <c r="O119" i="16"/>
  <c r="O27" i="16"/>
  <c r="O98" i="16"/>
  <c r="D50" i="16"/>
  <c r="E220" i="16"/>
  <c r="E209" i="16"/>
  <c r="E208" i="16"/>
  <c r="D124" i="16"/>
  <c r="D123" i="16"/>
  <c r="D121" i="16"/>
  <c r="D122" i="16"/>
  <c r="F86" i="16"/>
  <c r="F84" i="16"/>
  <c r="F85" i="16"/>
  <c r="F87" i="16"/>
  <c r="D59" i="16"/>
  <c r="D61" i="16"/>
  <c r="D60" i="16"/>
  <c r="E151" i="16"/>
  <c r="E150" i="16"/>
  <c r="E149" i="16"/>
  <c r="E152" i="16"/>
  <c r="E165" i="16"/>
  <c r="O14" i="16"/>
  <c r="D11" i="16" s="1"/>
  <c r="O39" i="16"/>
  <c r="E164" i="16"/>
  <c r="G120" i="16"/>
  <c r="O133" i="16"/>
  <c r="E135" i="16" s="1"/>
  <c r="M15" i="16" l="1"/>
  <c r="I15" i="16"/>
  <c r="H15" i="16"/>
  <c r="D37" i="16"/>
  <c r="D36" i="16"/>
  <c r="J15" i="16"/>
  <c r="D12" i="16"/>
  <c r="G15" i="16"/>
  <c r="C13" i="16"/>
  <c r="L15" i="16"/>
  <c r="K15" i="16"/>
  <c r="E138" i="16"/>
  <c r="E136" i="16"/>
  <c r="E137" i="16"/>
  <c r="N15" i="16"/>
  <c r="D38" i="16"/>
  <c r="N160" i="9" l="1"/>
  <c r="M160" i="9"/>
  <c r="L160" i="9"/>
  <c r="K160" i="9"/>
  <c r="J160" i="9"/>
  <c r="I160" i="9"/>
  <c r="H160" i="9"/>
  <c r="G160" i="9"/>
  <c r="O159" i="9"/>
  <c r="O158" i="9"/>
  <c r="O157" i="9"/>
  <c r="O156" i="9"/>
  <c r="O160" i="9" s="1"/>
  <c r="E162" i="9" s="1"/>
  <c r="N146" i="9"/>
  <c r="M146" i="9"/>
  <c r="L146" i="9"/>
  <c r="K146" i="9"/>
  <c r="J146" i="9"/>
  <c r="I146" i="9"/>
  <c r="H146" i="9"/>
  <c r="G146" i="9"/>
  <c r="O145" i="9"/>
  <c r="O144" i="9"/>
  <c r="O143" i="9"/>
  <c r="O142" i="9"/>
  <c r="N132" i="9"/>
  <c r="M132" i="9"/>
  <c r="L132" i="9"/>
  <c r="K132" i="9"/>
  <c r="J132" i="9"/>
  <c r="I132" i="9"/>
  <c r="H132" i="9"/>
  <c r="G132" i="9"/>
  <c r="O131" i="9"/>
  <c r="O130" i="9"/>
  <c r="O129" i="9"/>
  <c r="O128" i="9"/>
  <c r="J119" i="9"/>
  <c r="N118" i="9"/>
  <c r="N119" i="9" s="1"/>
  <c r="M118" i="9"/>
  <c r="M119" i="9" s="1"/>
  <c r="L118" i="9"/>
  <c r="L119" i="9" s="1"/>
  <c r="K118" i="9"/>
  <c r="K119" i="9" s="1"/>
  <c r="J118" i="9"/>
  <c r="I118" i="9"/>
  <c r="I119" i="9" s="1"/>
  <c r="H118" i="9"/>
  <c r="H119" i="9" s="1"/>
  <c r="G118" i="9"/>
  <c r="O117" i="9"/>
  <c r="O116" i="9"/>
  <c r="O115" i="9"/>
  <c r="O114" i="9"/>
  <c r="K108" i="9"/>
  <c r="H108" i="9"/>
  <c r="N97" i="9"/>
  <c r="M97" i="9"/>
  <c r="L97" i="9"/>
  <c r="K97" i="9"/>
  <c r="J97" i="9"/>
  <c r="I97" i="9"/>
  <c r="H97" i="9"/>
  <c r="G97" i="9"/>
  <c r="O96" i="9"/>
  <c r="O95" i="9"/>
  <c r="L89" i="9"/>
  <c r="H89" i="9"/>
  <c r="N81" i="9"/>
  <c r="N89" i="9" s="1"/>
  <c r="M81" i="9"/>
  <c r="M89" i="9" s="1"/>
  <c r="L81" i="9"/>
  <c r="K81" i="9"/>
  <c r="K89" i="9" s="1"/>
  <c r="J81" i="9"/>
  <c r="J89" i="9" s="1"/>
  <c r="I81" i="9"/>
  <c r="I89" i="9" s="1"/>
  <c r="H81" i="9"/>
  <c r="G81" i="9"/>
  <c r="G89" i="9" s="1"/>
  <c r="O80" i="9"/>
  <c r="O79" i="9"/>
  <c r="O78" i="9"/>
  <c r="O77" i="9"/>
  <c r="N72" i="9"/>
  <c r="M72" i="9"/>
  <c r="L72" i="9"/>
  <c r="K72" i="9"/>
  <c r="J72" i="9"/>
  <c r="I72" i="9"/>
  <c r="H72" i="9"/>
  <c r="G72" i="9"/>
  <c r="O71" i="9"/>
  <c r="O70" i="9"/>
  <c r="L65" i="9"/>
  <c r="H65" i="9"/>
  <c r="N62" i="9"/>
  <c r="N65" i="9" s="1"/>
  <c r="M62" i="9"/>
  <c r="M65" i="9" s="1"/>
  <c r="L62" i="9"/>
  <c r="K62" i="9"/>
  <c r="K65" i="9" s="1"/>
  <c r="J62" i="9"/>
  <c r="J65" i="9" s="1"/>
  <c r="I62" i="9"/>
  <c r="I65" i="9" s="1"/>
  <c r="H62" i="9"/>
  <c r="G62" i="9"/>
  <c r="G65" i="9" s="1"/>
  <c r="O61" i="9"/>
  <c r="O60" i="9"/>
  <c r="O59" i="9"/>
  <c r="O62" i="9" s="1"/>
  <c r="K54" i="9"/>
  <c r="N51" i="9"/>
  <c r="N54" i="9" s="1"/>
  <c r="M51" i="9"/>
  <c r="M54" i="9" s="1"/>
  <c r="L51" i="9"/>
  <c r="L54" i="9" s="1"/>
  <c r="K51" i="9"/>
  <c r="J51" i="9"/>
  <c r="J54" i="9" s="1"/>
  <c r="I51" i="9"/>
  <c r="I54" i="9" s="1"/>
  <c r="H51" i="9"/>
  <c r="H54" i="9" s="1"/>
  <c r="G51" i="9"/>
  <c r="G54" i="9" s="1"/>
  <c r="O50" i="9"/>
  <c r="O49" i="9"/>
  <c r="O48" i="9"/>
  <c r="O51" i="9" s="1"/>
  <c r="J42" i="9"/>
  <c r="H42" i="9"/>
  <c r="N39" i="9"/>
  <c r="N42" i="9" s="1"/>
  <c r="M39" i="9"/>
  <c r="M42" i="9" s="1"/>
  <c r="L39" i="9"/>
  <c r="L42" i="9" s="1"/>
  <c r="K39" i="9"/>
  <c r="K42" i="9" s="1"/>
  <c r="J39" i="9"/>
  <c r="I39" i="9"/>
  <c r="I42" i="9" s="1"/>
  <c r="H39" i="9"/>
  <c r="G39" i="9"/>
  <c r="G42" i="9" s="1"/>
  <c r="O38" i="9"/>
  <c r="O37" i="9"/>
  <c r="O39" i="9" s="1"/>
  <c r="O36" i="9"/>
  <c r="K30" i="9"/>
  <c r="I30" i="9"/>
  <c r="N27" i="9"/>
  <c r="N30" i="9" s="1"/>
  <c r="M27" i="9"/>
  <c r="M30" i="9" s="1"/>
  <c r="L27" i="9"/>
  <c r="L30" i="9" s="1"/>
  <c r="K27" i="9"/>
  <c r="J27" i="9"/>
  <c r="J30" i="9" s="1"/>
  <c r="I27" i="9"/>
  <c r="H27" i="9"/>
  <c r="H30" i="9" s="1"/>
  <c r="G27" i="9"/>
  <c r="G30" i="9" s="1"/>
  <c r="O26" i="9"/>
  <c r="O25" i="9"/>
  <c r="O24" i="9"/>
  <c r="O23" i="9"/>
  <c r="O22" i="9"/>
  <c r="N14" i="9"/>
  <c r="M14" i="9"/>
  <c r="L14" i="9"/>
  <c r="K14" i="9"/>
  <c r="J14" i="9"/>
  <c r="I14" i="9"/>
  <c r="H14" i="9"/>
  <c r="G14" i="9"/>
  <c r="O13" i="9"/>
  <c r="O12" i="9"/>
  <c r="O14" i="9" s="1"/>
  <c r="C12" i="9"/>
  <c r="D38" i="9" l="1"/>
  <c r="D37" i="9"/>
  <c r="O118" i="9"/>
  <c r="D123" i="9" s="1"/>
  <c r="O72" i="9"/>
  <c r="O97" i="9"/>
  <c r="D120" i="9"/>
  <c r="O27" i="9"/>
  <c r="K15" i="9"/>
  <c r="M15" i="9"/>
  <c r="I15" i="9"/>
  <c r="C13" i="9"/>
  <c r="G15" i="9"/>
  <c r="D12" i="9"/>
  <c r="J15" i="9"/>
  <c r="N15" i="9"/>
  <c r="D49" i="9"/>
  <c r="D59" i="9"/>
  <c r="D60" i="9"/>
  <c r="D61" i="9"/>
  <c r="E163" i="9"/>
  <c r="E164" i="9"/>
  <c r="F83" i="9"/>
  <c r="D50" i="9"/>
  <c r="H15" i="9"/>
  <c r="L15" i="9"/>
  <c r="D121" i="9"/>
  <c r="E165" i="9"/>
  <c r="D11" i="9"/>
  <c r="D48" i="9"/>
  <c r="G119" i="9"/>
  <c r="O132" i="9"/>
  <c r="E136" i="9" s="1"/>
  <c r="D36" i="9"/>
  <c r="O81" i="9"/>
  <c r="F84" i="9" s="1"/>
  <c r="O146" i="9"/>
  <c r="E149" i="9" s="1"/>
  <c r="C11" i="9"/>
  <c r="F86" i="9" l="1"/>
  <c r="D122" i="9"/>
  <c r="E151" i="9"/>
  <c r="E135" i="9"/>
  <c r="E148" i="9"/>
  <c r="E150" i="9"/>
  <c r="E134" i="9"/>
  <c r="E137" i="9"/>
  <c r="F85" i="9"/>
  <c r="O15" i="7"/>
  <c r="O16" i="7"/>
  <c r="O17" i="7"/>
  <c r="O26" i="7"/>
  <c r="O27" i="7"/>
  <c r="O28" i="7"/>
  <c r="O29" i="7"/>
  <c r="O30" i="7"/>
  <c r="G31" i="7"/>
  <c r="H31" i="7"/>
  <c r="I31" i="7"/>
  <c r="J31" i="7"/>
  <c r="K31" i="7"/>
  <c r="L31" i="7"/>
  <c r="M31" i="7"/>
  <c r="N31" i="7"/>
  <c r="O41" i="7"/>
  <c r="O42" i="7"/>
  <c r="O43" i="7"/>
  <c r="G44" i="7"/>
  <c r="H44" i="7"/>
  <c r="I44" i="7"/>
  <c r="J44" i="7"/>
  <c r="K44" i="7"/>
  <c r="L44" i="7"/>
  <c r="M44" i="7"/>
  <c r="N44" i="7"/>
  <c r="O55" i="7"/>
  <c r="O58" i="7" s="1"/>
  <c r="O56" i="7"/>
  <c r="O57" i="7"/>
  <c r="G58" i="7"/>
  <c r="H58" i="7"/>
  <c r="I58" i="7"/>
  <c r="J58" i="7"/>
  <c r="K58" i="7"/>
  <c r="L58" i="7"/>
  <c r="M58" i="7"/>
  <c r="N58" i="7"/>
  <c r="O68" i="7"/>
  <c r="O69" i="7"/>
  <c r="O70" i="7"/>
  <c r="G71" i="7"/>
  <c r="H71" i="7"/>
  <c r="I71" i="7"/>
  <c r="J71" i="7"/>
  <c r="K71" i="7"/>
  <c r="L71" i="7"/>
  <c r="M71" i="7"/>
  <c r="N71" i="7"/>
  <c r="O81" i="7"/>
  <c r="O82" i="7"/>
  <c r="O83" i="7"/>
  <c r="G84" i="7"/>
  <c r="H84" i="7"/>
  <c r="I84" i="7"/>
  <c r="J84" i="7"/>
  <c r="K84" i="7"/>
  <c r="L84" i="7"/>
  <c r="M84" i="7"/>
  <c r="N84" i="7"/>
  <c r="O95" i="7"/>
  <c r="O96" i="7"/>
  <c r="O97" i="7"/>
  <c r="G98" i="7"/>
  <c r="H98" i="7"/>
  <c r="I98" i="7"/>
  <c r="J98" i="7"/>
  <c r="K98" i="7"/>
  <c r="L98" i="7"/>
  <c r="M98" i="7"/>
  <c r="N98" i="7"/>
  <c r="O108" i="7"/>
  <c r="O111" i="7" s="1"/>
  <c r="O109" i="7"/>
  <c r="O110" i="7"/>
  <c r="G111" i="7"/>
  <c r="H111" i="7"/>
  <c r="I111" i="7"/>
  <c r="J111" i="7"/>
  <c r="K111" i="7"/>
  <c r="L111" i="7"/>
  <c r="M111" i="7"/>
  <c r="N111" i="7"/>
  <c r="O121" i="7"/>
  <c r="O122" i="7"/>
  <c r="G123" i="7"/>
  <c r="H123" i="7"/>
  <c r="I123" i="7"/>
  <c r="J123" i="7"/>
  <c r="O123" i="7" s="1"/>
  <c r="K123" i="7"/>
  <c r="L123" i="7"/>
  <c r="M123" i="7"/>
  <c r="N123" i="7"/>
  <c r="O142" i="7"/>
  <c r="O143" i="7"/>
  <c r="O144" i="7"/>
  <c r="O145" i="7"/>
  <c r="G146" i="7"/>
  <c r="H146" i="7"/>
  <c r="I146" i="7"/>
  <c r="J146" i="7"/>
  <c r="K146" i="7"/>
  <c r="L146" i="7"/>
  <c r="M146" i="7"/>
  <c r="N146" i="7"/>
  <c r="O146" i="7" l="1"/>
  <c r="O71" i="7"/>
  <c r="O84" i="7"/>
  <c r="O31" i="7"/>
  <c r="O98" i="7"/>
  <c r="O44" i="7"/>
  <c r="O15" i="6"/>
  <c r="O16" i="6"/>
  <c r="O17" i="6"/>
  <c r="O26" i="6"/>
  <c r="O27" i="6"/>
  <c r="O28" i="6"/>
  <c r="O29" i="6"/>
  <c r="O30" i="6"/>
  <c r="G31" i="6"/>
  <c r="H31" i="6"/>
  <c r="I31" i="6"/>
  <c r="J31" i="6"/>
  <c r="K31" i="6"/>
  <c r="L31" i="6"/>
  <c r="M31" i="6"/>
  <c r="N31" i="6"/>
  <c r="O41" i="6"/>
  <c r="O42" i="6"/>
  <c r="O43" i="6"/>
  <c r="G44" i="6"/>
  <c r="H44" i="6"/>
  <c r="I44" i="6"/>
  <c r="J44" i="6"/>
  <c r="K44" i="6"/>
  <c r="L44" i="6"/>
  <c r="M44" i="6"/>
  <c r="N44" i="6"/>
  <c r="O54" i="6"/>
  <c r="O55" i="6"/>
  <c r="O56" i="6"/>
  <c r="G57" i="6"/>
  <c r="H57" i="6"/>
  <c r="I57" i="6"/>
  <c r="J57" i="6"/>
  <c r="K57" i="6"/>
  <c r="L57" i="6"/>
  <c r="M57" i="6"/>
  <c r="N57" i="6"/>
  <c r="O66" i="6"/>
  <c r="O67" i="6"/>
  <c r="O68" i="6"/>
  <c r="G69" i="6"/>
  <c r="H69" i="6"/>
  <c r="I69" i="6"/>
  <c r="J69" i="6"/>
  <c r="K69" i="6"/>
  <c r="L69" i="6"/>
  <c r="M69" i="6"/>
  <c r="N69" i="6"/>
  <c r="O78" i="6"/>
  <c r="O79" i="6"/>
  <c r="O80" i="6"/>
  <c r="G81" i="6"/>
  <c r="H81" i="6"/>
  <c r="I81" i="6"/>
  <c r="J81" i="6"/>
  <c r="K81" i="6"/>
  <c r="L81" i="6"/>
  <c r="M81" i="6"/>
  <c r="N81" i="6"/>
  <c r="O92" i="6"/>
  <c r="O93" i="6"/>
  <c r="O94" i="6"/>
  <c r="G95" i="6"/>
  <c r="H95" i="6"/>
  <c r="I95" i="6"/>
  <c r="J95" i="6"/>
  <c r="K95" i="6"/>
  <c r="L95" i="6"/>
  <c r="M95" i="6"/>
  <c r="N95" i="6"/>
  <c r="O105" i="6"/>
  <c r="O106" i="6"/>
  <c r="O107" i="6"/>
  <c r="G108" i="6"/>
  <c r="H108" i="6"/>
  <c r="I108" i="6"/>
  <c r="J108" i="6"/>
  <c r="K108" i="6"/>
  <c r="L108" i="6"/>
  <c r="M108" i="6"/>
  <c r="N108" i="6"/>
  <c r="O118" i="6"/>
  <c r="O119" i="6"/>
  <c r="G120" i="6"/>
  <c r="H120" i="6"/>
  <c r="I120" i="6"/>
  <c r="J120" i="6"/>
  <c r="K120" i="6"/>
  <c r="L120" i="6"/>
  <c r="M120" i="6"/>
  <c r="N120" i="6"/>
  <c r="O139" i="6"/>
  <c r="O140" i="6"/>
  <c r="O141" i="6"/>
  <c r="O142" i="6"/>
  <c r="G143" i="6"/>
  <c r="H143" i="6"/>
  <c r="I143" i="6"/>
  <c r="J143" i="6"/>
  <c r="K143" i="6"/>
  <c r="L143" i="6"/>
  <c r="M143" i="6"/>
  <c r="N143" i="6"/>
  <c r="O120" i="6" l="1"/>
  <c r="O81" i="6"/>
  <c r="O95" i="6"/>
  <c r="O108" i="6"/>
  <c r="O57" i="6"/>
  <c r="O44" i="6"/>
  <c r="O31" i="6"/>
  <c r="O143" i="6"/>
  <c r="O69" i="6"/>
  <c r="O15" i="5"/>
  <c r="O16" i="5"/>
  <c r="O17" i="5"/>
  <c r="O26" i="5"/>
  <c r="O27" i="5"/>
  <c r="O28" i="5"/>
  <c r="O29" i="5"/>
  <c r="O30" i="5"/>
  <c r="G31" i="5"/>
  <c r="H31" i="5"/>
  <c r="I31" i="5"/>
  <c r="J31" i="5"/>
  <c r="K31" i="5"/>
  <c r="L31" i="5"/>
  <c r="M31" i="5"/>
  <c r="N31" i="5"/>
  <c r="O41" i="5"/>
  <c r="O42" i="5"/>
  <c r="O43" i="5"/>
  <c r="O44" i="5" s="1"/>
  <c r="G44" i="5"/>
  <c r="H44" i="5"/>
  <c r="I44" i="5"/>
  <c r="J44" i="5"/>
  <c r="K44" i="5"/>
  <c r="L44" i="5"/>
  <c r="M44" i="5"/>
  <c r="N44" i="5"/>
  <c r="O54" i="5"/>
  <c r="O55" i="5"/>
  <c r="O56" i="5"/>
  <c r="G57" i="5"/>
  <c r="H57" i="5"/>
  <c r="I57" i="5"/>
  <c r="J57" i="5"/>
  <c r="K57" i="5"/>
  <c r="L57" i="5"/>
  <c r="M57" i="5"/>
  <c r="O66" i="5"/>
  <c r="O67" i="5"/>
  <c r="O68" i="5"/>
  <c r="G69" i="5"/>
  <c r="H69" i="5"/>
  <c r="I69" i="5"/>
  <c r="J69" i="5"/>
  <c r="K69" i="5"/>
  <c r="L69" i="5"/>
  <c r="M69" i="5"/>
  <c r="N69" i="5"/>
  <c r="O83" i="5"/>
  <c r="O84" i="5"/>
  <c r="O85" i="5"/>
  <c r="G86" i="5"/>
  <c r="H86" i="5"/>
  <c r="I86" i="5"/>
  <c r="J86" i="5"/>
  <c r="K86" i="5"/>
  <c r="L86" i="5"/>
  <c r="M86" i="5"/>
  <c r="N86" i="5"/>
  <c r="O97" i="5"/>
  <c r="O98" i="5"/>
  <c r="O99" i="5"/>
  <c r="G100" i="5"/>
  <c r="H100" i="5"/>
  <c r="I100" i="5"/>
  <c r="J100" i="5"/>
  <c r="K100" i="5"/>
  <c r="L100" i="5"/>
  <c r="M100" i="5"/>
  <c r="N100" i="5"/>
  <c r="O110" i="5"/>
  <c r="O111" i="5"/>
  <c r="O112" i="5"/>
  <c r="G113" i="5"/>
  <c r="H113" i="5"/>
  <c r="I113" i="5"/>
  <c r="J113" i="5"/>
  <c r="K113" i="5"/>
  <c r="L113" i="5"/>
  <c r="M113" i="5"/>
  <c r="N113" i="5"/>
  <c r="O123" i="5"/>
  <c r="O124" i="5"/>
  <c r="G125" i="5"/>
  <c r="H125" i="5"/>
  <c r="I125" i="5"/>
  <c r="J125" i="5"/>
  <c r="K125" i="5"/>
  <c r="L125" i="5"/>
  <c r="M125" i="5"/>
  <c r="N125" i="5"/>
  <c r="O144" i="5"/>
  <c r="O145" i="5"/>
  <c r="O146" i="5"/>
  <c r="O147" i="5"/>
  <c r="G148" i="5"/>
  <c r="H148" i="5"/>
  <c r="I148" i="5"/>
  <c r="J148" i="5"/>
  <c r="K148" i="5"/>
  <c r="L148" i="5"/>
  <c r="M148" i="5"/>
  <c r="N148" i="5"/>
  <c r="O148" i="5"/>
  <c r="O69" i="5" l="1"/>
  <c r="O100" i="5"/>
  <c r="O113" i="5"/>
  <c r="O86" i="5"/>
  <c r="O31" i="5"/>
  <c r="O57" i="5"/>
  <c r="O125" i="5"/>
  <c r="D14" i="4"/>
  <c r="D15" i="4"/>
  <c r="G34" i="4"/>
  <c r="H34" i="4"/>
  <c r="I34" i="4"/>
  <c r="J34" i="4"/>
  <c r="K34" i="4"/>
  <c r="L34" i="4"/>
  <c r="M34" i="4"/>
  <c r="N34" i="4"/>
  <c r="D41" i="4"/>
  <c r="D42" i="4"/>
  <c r="D43" i="4"/>
  <c r="G47" i="4"/>
  <c r="H47" i="4"/>
  <c r="I47" i="4"/>
  <c r="J47" i="4"/>
  <c r="K47" i="4"/>
  <c r="L47" i="4"/>
  <c r="M47" i="4"/>
  <c r="N47" i="4"/>
  <c r="D54" i="4"/>
  <c r="D55" i="4"/>
  <c r="D56" i="4"/>
  <c r="G60" i="4"/>
  <c r="H60" i="4"/>
  <c r="I60" i="4"/>
  <c r="J60" i="4"/>
  <c r="K60" i="4"/>
  <c r="L60" i="4"/>
  <c r="M60" i="4"/>
  <c r="N60" i="4"/>
  <c r="D66" i="4"/>
  <c r="D67" i="4"/>
  <c r="D68" i="4"/>
  <c r="G72" i="4"/>
  <c r="H72" i="4"/>
  <c r="I72" i="4"/>
  <c r="J72" i="4"/>
  <c r="K72" i="4"/>
  <c r="L72" i="4"/>
  <c r="M72" i="4"/>
  <c r="N72" i="4"/>
  <c r="D78" i="4"/>
  <c r="D79" i="4"/>
  <c r="D80" i="4"/>
  <c r="G84" i="4"/>
  <c r="H84" i="4"/>
  <c r="I84" i="4"/>
  <c r="J84" i="4"/>
  <c r="K84" i="4"/>
  <c r="L84" i="4"/>
  <c r="M84" i="4"/>
  <c r="N84" i="4"/>
  <c r="D92" i="4"/>
  <c r="D93" i="4"/>
  <c r="D94" i="4"/>
  <c r="G98" i="4"/>
  <c r="H98" i="4"/>
  <c r="I98" i="4"/>
  <c r="J98" i="4"/>
  <c r="K98" i="4"/>
  <c r="L98" i="4"/>
  <c r="M98" i="4"/>
  <c r="N98" i="4"/>
  <c r="D105" i="4"/>
  <c r="D106" i="4"/>
  <c r="D107" i="4"/>
  <c r="G111" i="4"/>
  <c r="H111" i="4"/>
  <c r="I111" i="4"/>
  <c r="J111" i="4"/>
  <c r="K111" i="4"/>
  <c r="L111" i="4"/>
  <c r="M111" i="4"/>
  <c r="N111" i="4"/>
  <c r="G129" i="4"/>
  <c r="J129" i="4"/>
  <c r="G131" i="4"/>
  <c r="J131" i="4"/>
  <c r="D145" i="4"/>
  <c r="D146" i="4"/>
  <c r="D147" i="4"/>
  <c r="D148" i="4"/>
  <c r="D14" i="3" l="1"/>
  <c r="D15" i="3"/>
  <c r="G18" i="3"/>
  <c r="H18" i="3"/>
  <c r="I18" i="3"/>
  <c r="J18" i="3"/>
  <c r="K18" i="3"/>
  <c r="L18" i="3"/>
  <c r="M18" i="3"/>
  <c r="N18" i="3"/>
  <c r="O26" i="3"/>
  <c r="O27" i="3"/>
  <c r="O28" i="3"/>
  <c r="O29" i="3"/>
  <c r="O30" i="3"/>
  <c r="G31" i="3"/>
  <c r="H31" i="3"/>
  <c r="I31" i="3"/>
  <c r="I34" i="3" s="1"/>
  <c r="J31" i="3"/>
  <c r="J34" i="3" s="1"/>
  <c r="K31" i="3"/>
  <c r="K34" i="3" s="1"/>
  <c r="L31" i="3"/>
  <c r="L34" i="3" s="1"/>
  <c r="M31" i="3"/>
  <c r="M34" i="3" s="1"/>
  <c r="N31" i="3"/>
  <c r="N34" i="3" s="1"/>
  <c r="G34" i="3"/>
  <c r="H34" i="3"/>
  <c r="O41" i="3"/>
  <c r="O42" i="3"/>
  <c r="O43" i="3"/>
  <c r="G44" i="3"/>
  <c r="G47" i="3" s="1"/>
  <c r="H44" i="3"/>
  <c r="I44" i="3"/>
  <c r="J44" i="3"/>
  <c r="J47" i="3" s="1"/>
  <c r="K44" i="3"/>
  <c r="L44" i="3"/>
  <c r="L47" i="3" s="1"/>
  <c r="M44" i="3"/>
  <c r="M47" i="3" s="1"/>
  <c r="N44" i="3"/>
  <c r="N47" i="3" s="1"/>
  <c r="H47" i="3"/>
  <c r="I47" i="3"/>
  <c r="K47" i="3"/>
  <c r="O54" i="3"/>
  <c r="O55" i="3"/>
  <c r="O56" i="3"/>
  <c r="G57" i="3"/>
  <c r="G60" i="3" s="1"/>
  <c r="H57" i="3"/>
  <c r="H60" i="3" s="1"/>
  <c r="I57" i="3"/>
  <c r="J57" i="3"/>
  <c r="J60" i="3" s="1"/>
  <c r="K57" i="3"/>
  <c r="K60" i="3" s="1"/>
  <c r="L57" i="3"/>
  <c r="L60" i="3" s="1"/>
  <c r="M57" i="3"/>
  <c r="M60" i="3" s="1"/>
  <c r="N57" i="3"/>
  <c r="I60" i="3"/>
  <c r="N60" i="3"/>
  <c r="O66" i="3"/>
  <c r="O67" i="3"/>
  <c r="O68" i="3"/>
  <c r="G69" i="3"/>
  <c r="H69" i="3"/>
  <c r="H72" i="3" s="1"/>
  <c r="I69" i="3"/>
  <c r="I72" i="3" s="1"/>
  <c r="J69" i="3"/>
  <c r="J72" i="3" s="1"/>
  <c r="K69" i="3"/>
  <c r="K72" i="3" s="1"/>
  <c r="L69" i="3"/>
  <c r="L72" i="3" s="1"/>
  <c r="M69" i="3"/>
  <c r="N69" i="3"/>
  <c r="N72" i="3" s="1"/>
  <c r="G72" i="3"/>
  <c r="M72" i="3"/>
  <c r="O77" i="3"/>
  <c r="I78" i="3"/>
  <c r="J78" i="3"/>
  <c r="K78" i="3"/>
  <c r="L78" i="3"/>
  <c r="M78" i="3"/>
  <c r="O84" i="3"/>
  <c r="O85" i="3"/>
  <c r="O86" i="3"/>
  <c r="O87" i="3"/>
  <c r="G88" i="3"/>
  <c r="G96" i="3" s="1"/>
  <c r="H88" i="3"/>
  <c r="H96" i="3" s="1"/>
  <c r="I88" i="3"/>
  <c r="I96" i="3" s="1"/>
  <c r="J88" i="3"/>
  <c r="J96" i="3" s="1"/>
  <c r="K88" i="3"/>
  <c r="K96" i="3" s="1"/>
  <c r="L88" i="3"/>
  <c r="L96" i="3" s="1"/>
  <c r="M88" i="3"/>
  <c r="M96" i="3" s="1"/>
  <c r="N88" i="3"/>
  <c r="N96" i="3" s="1"/>
  <c r="O103" i="3"/>
  <c r="O104" i="3"/>
  <c r="G105" i="3"/>
  <c r="H105" i="3"/>
  <c r="I105" i="3"/>
  <c r="J105" i="3"/>
  <c r="K105" i="3"/>
  <c r="L105" i="3"/>
  <c r="M105" i="3"/>
  <c r="N105" i="3"/>
  <c r="H114" i="3"/>
  <c r="K114" i="3"/>
  <c r="H116" i="3"/>
  <c r="K116" i="3"/>
  <c r="O124" i="3"/>
  <c r="O125" i="3"/>
  <c r="O126" i="3"/>
  <c r="O127" i="3"/>
  <c r="G128" i="3"/>
  <c r="H128" i="3"/>
  <c r="I128" i="3"/>
  <c r="I129" i="3" s="1"/>
  <c r="J128" i="3"/>
  <c r="J129" i="3" s="1"/>
  <c r="K128" i="3"/>
  <c r="K129" i="3" s="1"/>
  <c r="L128" i="3"/>
  <c r="L129" i="3" s="1"/>
  <c r="M128" i="3"/>
  <c r="N128" i="3"/>
  <c r="N129" i="3" s="1"/>
  <c r="G129" i="3"/>
  <c r="M129" i="3"/>
  <c r="O57" i="3" l="1"/>
  <c r="O128" i="3"/>
  <c r="O105" i="3"/>
  <c r="O78" i="3"/>
  <c r="O31" i="3"/>
  <c r="D133" i="3"/>
  <c r="D130" i="3"/>
  <c r="D132" i="3"/>
  <c r="D131" i="3"/>
  <c r="O88" i="3"/>
  <c r="F91" i="3" s="1"/>
  <c r="H129" i="3"/>
  <c r="O44" i="3"/>
  <c r="D43" i="3" s="1"/>
  <c r="O69" i="3"/>
  <c r="D55" i="3" s="1"/>
  <c r="O12" i="2"/>
  <c r="O13" i="2"/>
  <c r="G14" i="2"/>
  <c r="H14" i="2"/>
  <c r="I14" i="2"/>
  <c r="J14" i="2"/>
  <c r="K14" i="2"/>
  <c r="L14" i="2"/>
  <c r="M14" i="2"/>
  <c r="N14" i="2"/>
  <c r="O22" i="2"/>
  <c r="O23" i="2"/>
  <c r="O24" i="2"/>
  <c r="O25" i="2"/>
  <c r="O26" i="2"/>
  <c r="G27" i="2"/>
  <c r="G30" i="2" s="1"/>
  <c r="H27" i="2"/>
  <c r="H30" i="2" s="1"/>
  <c r="I27" i="2"/>
  <c r="I30" i="2" s="1"/>
  <c r="J27" i="2"/>
  <c r="J30" i="2" s="1"/>
  <c r="K27" i="2"/>
  <c r="K30" i="2" s="1"/>
  <c r="L27" i="2"/>
  <c r="L30" i="2" s="1"/>
  <c r="M27" i="2"/>
  <c r="M30" i="2" s="1"/>
  <c r="N27" i="2"/>
  <c r="N30" i="2" s="1"/>
  <c r="O36" i="2"/>
  <c r="O37" i="2"/>
  <c r="O38" i="2"/>
  <c r="G39" i="2"/>
  <c r="H39" i="2"/>
  <c r="I39" i="2"/>
  <c r="I42" i="2" s="1"/>
  <c r="J39" i="2"/>
  <c r="K39" i="2"/>
  <c r="L39" i="2"/>
  <c r="L42" i="2" s="1"/>
  <c r="M39" i="2"/>
  <c r="M42" i="2" s="1"/>
  <c r="N39" i="2"/>
  <c r="N42" i="2" s="1"/>
  <c r="G42" i="2"/>
  <c r="H42" i="2"/>
  <c r="J42" i="2"/>
  <c r="K42" i="2"/>
  <c r="O48" i="2"/>
  <c r="O51" i="2" s="1"/>
  <c r="O49" i="2"/>
  <c r="O50" i="2"/>
  <c r="G51" i="2"/>
  <c r="H51" i="2"/>
  <c r="H54" i="2" s="1"/>
  <c r="I51" i="2"/>
  <c r="I54" i="2" s="1"/>
  <c r="J51" i="2"/>
  <c r="J54" i="2" s="1"/>
  <c r="K51" i="2"/>
  <c r="K54" i="2" s="1"/>
  <c r="L51" i="2"/>
  <c r="L54" i="2" s="1"/>
  <c r="M51" i="2"/>
  <c r="M54" i="2" s="1"/>
  <c r="N51" i="2"/>
  <c r="N54" i="2" s="1"/>
  <c r="G54" i="2"/>
  <c r="O59" i="2"/>
  <c r="O62" i="2" s="1"/>
  <c r="D60" i="2" s="1"/>
  <c r="O60" i="2"/>
  <c r="O61" i="2"/>
  <c r="G62" i="2"/>
  <c r="G65" i="2" s="1"/>
  <c r="H62" i="2"/>
  <c r="I62" i="2"/>
  <c r="J62" i="2"/>
  <c r="K62" i="2"/>
  <c r="K65" i="2" s="1"/>
  <c r="L62" i="2"/>
  <c r="M62" i="2"/>
  <c r="M65" i="2" s="1"/>
  <c r="N62" i="2"/>
  <c r="N65" i="2" s="1"/>
  <c r="H65" i="2"/>
  <c r="I65" i="2"/>
  <c r="J65" i="2"/>
  <c r="L65" i="2"/>
  <c r="O70" i="2"/>
  <c r="O71" i="2"/>
  <c r="O72" i="2" s="1"/>
  <c r="G72" i="2"/>
  <c r="H72" i="2"/>
  <c r="I72" i="2"/>
  <c r="J72" i="2"/>
  <c r="K72" i="2"/>
  <c r="L72" i="2"/>
  <c r="M72" i="2"/>
  <c r="N72" i="2"/>
  <c r="O77" i="2"/>
  <c r="O78" i="2"/>
  <c r="O79" i="2"/>
  <c r="O80" i="2"/>
  <c r="G81" i="2"/>
  <c r="G89" i="2" s="1"/>
  <c r="H81" i="2"/>
  <c r="I81" i="2"/>
  <c r="J81" i="2"/>
  <c r="J89" i="2" s="1"/>
  <c r="K81" i="2"/>
  <c r="K89" i="2" s="1"/>
  <c r="L81" i="2"/>
  <c r="L89" i="2" s="1"/>
  <c r="M81" i="2"/>
  <c r="M89" i="2" s="1"/>
  <c r="N81" i="2"/>
  <c r="H89" i="2"/>
  <c r="I89" i="2"/>
  <c r="N89" i="2"/>
  <c r="O95" i="2"/>
  <c r="O96" i="2"/>
  <c r="G97" i="2"/>
  <c r="H97" i="2"/>
  <c r="I97" i="2"/>
  <c r="J97" i="2"/>
  <c r="K97" i="2"/>
  <c r="L97" i="2"/>
  <c r="M97" i="2"/>
  <c r="N97" i="2"/>
  <c r="H106" i="2"/>
  <c r="K106" i="2"/>
  <c r="H108" i="2"/>
  <c r="K108" i="2"/>
  <c r="O114" i="2"/>
  <c r="O115" i="2"/>
  <c r="O116" i="2"/>
  <c r="O117" i="2"/>
  <c r="G118" i="2"/>
  <c r="G119" i="2" s="1"/>
  <c r="H118" i="2"/>
  <c r="H119" i="2" s="1"/>
  <c r="I118" i="2"/>
  <c r="I119" i="2" s="1"/>
  <c r="J118" i="2"/>
  <c r="K118" i="2"/>
  <c r="K119" i="2" s="1"/>
  <c r="L118" i="2"/>
  <c r="L119" i="2" s="1"/>
  <c r="M118" i="2"/>
  <c r="M119" i="2" s="1"/>
  <c r="N118" i="2"/>
  <c r="N119" i="2" s="1"/>
  <c r="J119" i="2"/>
  <c r="O128" i="2"/>
  <c r="O129" i="2"/>
  <c r="O130" i="2"/>
  <c r="O131" i="2"/>
  <c r="G132" i="2"/>
  <c r="H132" i="2"/>
  <c r="I132" i="2"/>
  <c r="J132" i="2"/>
  <c r="K132" i="2"/>
  <c r="L132" i="2"/>
  <c r="M132" i="2"/>
  <c r="N132" i="2"/>
  <c r="O142" i="2"/>
  <c r="O143" i="2"/>
  <c r="O144" i="2"/>
  <c r="O145" i="2"/>
  <c r="G146" i="2"/>
  <c r="H146" i="2"/>
  <c r="I146" i="2"/>
  <c r="J146" i="2"/>
  <c r="K146" i="2"/>
  <c r="L146" i="2"/>
  <c r="M146" i="2"/>
  <c r="N146" i="2"/>
  <c r="O156" i="2"/>
  <c r="O157" i="2"/>
  <c r="O158" i="2"/>
  <c r="O159" i="2"/>
  <c r="G160" i="2"/>
  <c r="H160" i="2"/>
  <c r="I160" i="2"/>
  <c r="J160" i="2"/>
  <c r="K160" i="2"/>
  <c r="L160" i="2"/>
  <c r="M160" i="2"/>
  <c r="N160" i="2"/>
  <c r="O97" i="2" l="1"/>
  <c r="O118" i="2"/>
  <c r="E148" i="2" s="1"/>
  <c r="O81" i="2"/>
  <c r="F84" i="2" s="1"/>
  <c r="D121" i="2"/>
  <c r="E162" i="2"/>
  <c r="E149" i="2"/>
  <c r="D123" i="2"/>
  <c r="E136" i="2"/>
  <c r="D120" i="2"/>
  <c r="E163" i="2"/>
  <c r="E150" i="2"/>
  <c r="O132" i="2"/>
  <c r="F83" i="2"/>
  <c r="D50" i="2"/>
  <c r="D61" i="2"/>
  <c r="O27" i="2"/>
  <c r="D59" i="2"/>
  <c r="O39" i="2"/>
  <c r="D36" i="2" s="1"/>
  <c r="D67" i="3"/>
  <c r="D56" i="3"/>
  <c r="D66" i="3"/>
  <c r="D42" i="3"/>
  <c r="D54" i="3"/>
  <c r="F93" i="3"/>
  <c r="F90" i="3"/>
  <c r="F92" i="3"/>
  <c r="D41" i="3"/>
  <c r="D68" i="3"/>
  <c r="D49" i="2"/>
  <c r="F86" i="2"/>
  <c r="O160" i="2"/>
  <c r="E135" i="2"/>
  <c r="D122" i="2"/>
  <c r="F85" i="2"/>
  <c r="D48" i="2"/>
  <c r="E165" i="2"/>
  <c r="E164" i="2"/>
  <c r="E151" i="2"/>
  <c r="O146" i="2"/>
  <c r="E134" i="2"/>
  <c r="E137" i="2"/>
  <c r="O14" i="2"/>
  <c r="J15" i="2" s="1"/>
  <c r="D38" i="2" l="1"/>
  <c r="D37" i="2"/>
  <c r="G15" i="2"/>
  <c r="K15" i="2"/>
  <c r="I15" i="2"/>
  <c r="H15" i="2"/>
  <c r="L15" i="2"/>
  <c r="M15" i="2"/>
  <c r="N15" i="2"/>
  <c r="D11" i="2"/>
  <c r="D12" i="2"/>
</calcChain>
</file>

<file path=xl/sharedStrings.xml><?xml version="1.0" encoding="utf-8"?>
<sst xmlns="http://schemas.openxmlformats.org/spreadsheetml/2006/main" count="3918" uniqueCount="317">
  <si>
    <t>H25</t>
    <phoneticPr fontId="9"/>
  </si>
  <si>
    <t>H26</t>
    <phoneticPr fontId="9"/>
  </si>
  <si>
    <t>項目</t>
    <rPh sb="0" eb="2">
      <t>コウモク</t>
    </rPh>
    <phoneticPr fontId="9"/>
  </si>
  <si>
    <t>H27</t>
    <phoneticPr fontId="9"/>
  </si>
  <si>
    <t>H28</t>
    <phoneticPr fontId="9"/>
  </si>
  <si>
    <t>H29</t>
    <phoneticPr fontId="9"/>
  </si>
  <si>
    <t>H30</t>
    <phoneticPr fontId="9"/>
  </si>
  <si>
    <t>H31</t>
    <phoneticPr fontId="9"/>
  </si>
  <si>
    <t>有効回答者数（人）</t>
    <rPh sb="0" eb="2">
      <t>ユウコウ</t>
    </rPh>
    <rPh sb="2" eb="4">
      <t>カイトウ</t>
    </rPh>
    <rPh sb="4" eb="5">
      <t>シャ</t>
    </rPh>
    <rPh sb="5" eb="6">
      <t>スウ</t>
    </rPh>
    <rPh sb="7" eb="8">
      <t>ニン</t>
    </rPh>
    <phoneticPr fontId="9"/>
  </si>
  <si>
    <t>平均年齢（歳）</t>
    <rPh sb="0" eb="2">
      <t>ヘイキン</t>
    </rPh>
    <rPh sb="2" eb="4">
      <t>ネンレイ</t>
    </rPh>
    <rPh sb="5" eb="6">
      <t>サイ</t>
    </rPh>
    <phoneticPr fontId="9"/>
  </si>
  <si>
    <t>6024達成者（％）</t>
    <rPh sb="4" eb="6">
      <t>タッセイ</t>
    </rPh>
    <rPh sb="6" eb="7">
      <t>シャ</t>
    </rPh>
    <phoneticPr fontId="9"/>
  </si>
  <si>
    <t>8020達成者（％）</t>
    <rPh sb="4" eb="6">
      <t>タッセイ</t>
    </rPh>
    <rPh sb="6" eb="7">
      <t>シャ</t>
    </rPh>
    <phoneticPr fontId="9"/>
  </si>
  <si>
    <t>歯間清掃用具使用者：40歳代（％）</t>
    <rPh sb="0" eb="2">
      <t>シカン</t>
    </rPh>
    <rPh sb="2" eb="4">
      <t>セイソウ</t>
    </rPh>
    <rPh sb="4" eb="6">
      <t>ヨウグ</t>
    </rPh>
    <rPh sb="6" eb="9">
      <t>シヨウシャ</t>
    </rPh>
    <rPh sb="12" eb="13">
      <t>サイ</t>
    </rPh>
    <rPh sb="13" eb="14">
      <t>ダイ</t>
    </rPh>
    <phoneticPr fontId="9"/>
  </si>
  <si>
    <t>歯間清掃用具使用者：50歳代（％）</t>
    <rPh sb="0" eb="2">
      <t>シカン</t>
    </rPh>
    <rPh sb="2" eb="4">
      <t>セイソウ</t>
    </rPh>
    <rPh sb="4" eb="6">
      <t>ヨウグ</t>
    </rPh>
    <rPh sb="6" eb="9">
      <t>シヨウシャ</t>
    </rPh>
    <rPh sb="12" eb="13">
      <t>サイ</t>
    </rPh>
    <rPh sb="13" eb="14">
      <t>ダイ</t>
    </rPh>
    <phoneticPr fontId="9"/>
  </si>
  <si>
    <t>喫煙の状況：現在吸っている（％）</t>
    <rPh sb="0" eb="2">
      <t>キツエン</t>
    </rPh>
    <rPh sb="3" eb="5">
      <t>ジョウキョウ</t>
    </rPh>
    <rPh sb="6" eb="8">
      <t>ゲンザイ</t>
    </rPh>
    <rPh sb="8" eb="9">
      <t>ス</t>
    </rPh>
    <phoneticPr fontId="9"/>
  </si>
  <si>
    <t>喫煙の状況：過去に吸っていた（％）</t>
    <rPh sb="0" eb="2">
      <t>キツエン</t>
    </rPh>
    <rPh sb="3" eb="5">
      <t>ジョウキョウ</t>
    </rPh>
    <rPh sb="6" eb="8">
      <t>カコ</t>
    </rPh>
    <rPh sb="9" eb="10">
      <t>ス</t>
    </rPh>
    <phoneticPr fontId="9"/>
  </si>
  <si>
    <t>性別構成割合：女性（％）</t>
    <rPh sb="0" eb="2">
      <t>セイベツ</t>
    </rPh>
    <rPh sb="2" eb="4">
      <t>コウセイ</t>
    </rPh>
    <rPh sb="4" eb="6">
      <t>ワリアイ</t>
    </rPh>
    <rPh sb="7" eb="9">
      <t>ジョセイ</t>
    </rPh>
    <phoneticPr fontId="9"/>
  </si>
  <si>
    <t>　　H28,H30～は
　　【食事をかんで食べる時の状態はどれにあてはまりますか。】に対して
　　「１　何でもかんで食べることができる」「２　かみにくいことがある」「３　ほとんどかめない」の中から
　　「１　なんでもかんで食べることができる」を選択した者</t>
    <rPh sb="15" eb="17">
      <t>ショクジ</t>
    </rPh>
    <rPh sb="21" eb="22">
      <t>タ</t>
    </rPh>
    <rPh sb="24" eb="25">
      <t>トキ</t>
    </rPh>
    <rPh sb="26" eb="28">
      <t>ジョウタイ</t>
    </rPh>
    <rPh sb="43" eb="44">
      <t>タイ</t>
    </rPh>
    <rPh sb="52" eb="53">
      <t>ナン</t>
    </rPh>
    <rPh sb="58" eb="59">
      <t>タ</t>
    </rPh>
    <rPh sb="95" eb="96">
      <t>ナカ</t>
    </rPh>
    <rPh sb="111" eb="112">
      <t>タ</t>
    </rPh>
    <rPh sb="122" eb="124">
      <t>センタク</t>
    </rPh>
    <rPh sb="126" eb="127">
      <t>モノ</t>
    </rPh>
    <phoneticPr fontId="9"/>
  </si>
  <si>
    <t>不明・無回答</t>
    <rPh sb="0" eb="2">
      <t>フメイ</t>
    </rPh>
    <rPh sb="3" eb="6">
      <t>ムカイトウ</t>
    </rPh>
    <phoneticPr fontId="13"/>
  </si>
  <si>
    <t>３．内容を知っている</t>
    <rPh sb="2" eb="4">
      <t>ナイヨウ</t>
    </rPh>
    <rPh sb="5" eb="6">
      <t>シ</t>
    </rPh>
    <phoneticPr fontId="13"/>
  </si>
  <si>
    <t>２．聞いたことはある</t>
    <rPh sb="2" eb="3">
      <t>キ</t>
    </rPh>
    <phoneticPr fontId="13"/>
  </si>
  <si>
    <t>１．知らない</t>
    <rPh sb="2" eb="3">
      <t>シ</t>
    </rPh>
    <phoneticPr fontId="13"/>
  </si>
  <si>
    <t>（全体集計）</t>
    <rPh sb="1" eb="3">
      <t>ゼンタイ</t>
    </rPh>
    <rPh sb="3" eb="5">
      <t>シュウケイ</t>
    </rPh>
    <phoneticPr fontId="13"/>
  </si>
  <si>
    <t>合計</t>
    <rPh sb="0" eb="2">
      <t>ゴウケイ</t>
    </rPh>
    <phoneticPr fontId="13"/>
  </si>
  <si>
    <t>９０歳以上</t>
    <rPh sb="2" eb="3">
      <t>サイ</t>
    </rPh>
    <rPh sb="3" eb="5">
      <t>イジョウ</t>
    </rPh>
    <phoneticPr fontId="13"/>
  </si>
  <si>
    <t>８０歳代</t>
    <rPh sb="2" eb="4">
      <t>サイダイ</t>
    </rPh>
    <phoneticPr fontId="13"/>
  </si>
  <si>
    <t>７０歳代</t>
    <rPh sb="2" eb="4">
      <t>サイダイ</t>
    </rPh>
    <phoneticPr fontId="13"/>
  </si>
  <si>
    <t>６０歳代</t>
    <rPh sb="2" eb="4">
      <t>サイダイ</t>
    </rPh>
    <phoneticPr fontId="13"/>
  </si>
  <si>
    <t>５０歳代</t>
    <rPh sb="2" eb="4">
      <t>サイダイ</t>
    </rPh>
    <phoneticPr fontId="13"/>
  </si>
  <si>
    <t>４０歳代</t>
    <rPh sb="2" eb="4">
      <t>サイダイ</t>
    </rPh>
    <phoneticPr fontId="13"/>
  </si>
  <si>
    <t>３０歳代</t>
    <rPh sb="2" eb="4">
      <t>サイダイ</t>
    </rPh>
    <phoneticPr fontId="13"/>
  </si>
  <si>
    <t>２０歳代</t>
    <rPh sb="2" eb="4">
      <t>サイダイ</t>
    </rPh>
    <phoneticPr fontId="13"/>
  </si>
  <si>
    <t>（人）</t>
    <rPh sb="1" eb="2">
      <t>ニン</t>
    </rPh>
    <phoneticPr fontId="13"/>
  </si>
  <si>
    <t>●問９ ウ：次の言葉を知っていますか。「オーラルフレイル」</t>
    <rPh sb="1" eb="2">
      <t>トイ</t>
    </rPh>
    <rPh sb="6" eb="7">
      <t>ツギ</t>
    </rPh>
    <rPh sb="8" eb="10">
      <t>コトバ</t>
    </rPh>
    <rPh sb="11" eb="12">
      <t>シ</t>
    </rPh>
    <phoneticPr fontId="13"/>
  </si>
  <si>
    <t>●問９ イ：次の言葉を知っていますか。「北海道歯・口腔の健康づくり8020推進週間」</t>
    <rPh sb="1" eb="2">
      <t>トイ</t>
    </rPh>
    <rPh sb="6" eb="7">
      <t>ツギ</t>
    </rPh>
    <rPh sb="8" eb="10">
      <t>コトバ</t>
    </rPh>
    <rPh sb="11" eb="12">
      <t>シ</t>
    </rPh>
    <rPh sb="20" eb="23">
      <t>ホッカイドウ</t>
    </rPh>
    <rPh sb="23" eb="24">
      <t>ハ</t>
    </rPh>
    <rPh sb="25" eb="27">
      <t>コウクウ</t>
    </rPh>
    <rPh sb="28" eb="30">
      <t>ケンコウ</t>
    </rPh>
    <rPh sb="37" eb="39">
      <t>スイシン</t>
    </rPh>
    <rPh sb="39" eb="41">
      <t>シュウカン</t>
    </rPh>
    <phoneticPr fontId="13"/>
  </si>
  <si>
    <t>●問９ ア：次の言葉を知っていますか。「8020（ハチマルニイマル）運動」</t>
    <rPh sb="1" eb="2">
      <t>トイ</t>
    </rPh>
    <rPh sb="6" eb="7">
      <t>ツギ</t>
    </rPh>
    <rPh sb="8" eb="10">
      <t>コトバ</t>
    </rPh>
    <rPh sb="11" eb="12">
      <t>シ</t>
    </rPh>
    <rPh sb="34" eb="36">
      <t>ウンドウ</t>
    </rPh>
    <phoneticPr fontId="13"/>
  </si>
  <si>
    <t>３．非喫煙</t>
    <rPh sb="2" eb="5">
      <t>ヒキツエン</t>
    </rPh>
    <phoneticPr fontId="13"/>
  </si>
  <si>
    <r>
      <t>２．</t>
    </r>
    <r>
      <rPr>
        <sz val="8.5"/>
        <color theme="1"/>
        <rFont val="游ゴシック"/>
        <family val="3"/>
        <charset val="128"/>
        <scheme val="minor"/>
      </rPr>
      <t>過去喫煙</t>
    </r>
    <rPh sb="2" eb="4">
      <t>カコ</t>
    </rPh>
    <rPh sb="4" eb="6">
      <t>キツエン</t>
    </rPh>
    <phoneticPr fontId="13"/>
  </si>
  <si>
    <t>１．吸う</t>
    <rPh sb="2" eb="3">
      <t>ス</t>
    </rPh>
    <phoneticPr fontId="13"/>
  </si>
  <si>
    <t>喫煙者率</t>
    <rPh sb="0" eb="3">
      <t>キツエンシャ</t>
    </rPh>
    <rPh sb="3" eb="4">
      <t>リツ</t>
    </rPh>
    <phoneticPr fontId="13"/>
  </si>
  <si>
    <t>３．もともと吸わない</t>
    <rPh sb="6" eb="7">
      <t>ス</t>
    </rPh>
    <phoneticPr fontId="13"/>
  </si>
  <si>
    <t>２．喫煙歴あり、現在非喫煙</t>
    <rPh sb="2" eb="4">
      <t>キツエン</t>
    </rPh>
    <rPh sb="4" eb="5">
      <t>レキ</t>
    </rPh>
    <rPh sb="8" eb="10">
      <t>ゲンザイ</t>
    </rPh>
    <rPh sb="10" eb="13">
      <t>ヒキツエン</t>
    </rPh>
    <phoneticPr fontId="13"/>
  </si>
  <si>
    <t>●問８：（喫煙の有無）あなたは、たばこを吸いますか。</t>
    <rPh sb="1" eb="2">
      <t>トイ</t>
    </rPh>
    <rPh sb="5" eb="7">
      <t>キツエン</t>
    </rPh>
    <rPh sb="8" eb="10">
      <t>ウム</t>
    </rPh>
    <rPh sb="20" eb="21">
      <t>ス</t>
    </rPh>
    <phoneticPr fontId="13"/>
  </si>
  <si>
    <t>達成者率</t>
    <rPh sb="0" eb="3">
      <t>タッセイシャ</t>
    </rPh>
    <rPh sb="3" eb="4">
      <t>リツ</t>
    </rPh>
    <phoneticPr fontId="13"/>
  </si>
  <si>
    <t>達成者</t>
    <rPh sb="0" eb="3">
      <t>タッセイシャ</t>
    </rPh>
    <phoneticPr fontId="13"/>
  </si>
  <si>
    <t>平均歯数</t>
    <rPh sb="0" eb="2">
      <t>ヘイキン</t>
    </rPh>
    <rPh sb="2" eb="4">
      <t>ハスウ</t>
    </rPh>
    <phoneticPr fontId="13"/>
  </si>
  <si>
    <t>歯数計</t>
    <rPh sb="0" eb="1">
      <t>ハ</t>
    </rPh>
    <rPh sb="1" eb="2">
      <t>スウ</t>
    </rPh>
    <rPh sb="2" eb="3">
      <t>ケイ</t>
    </rPh>
    <phoneticPr fontId="13"/>
  </si>
  <si>
    <t>（基準値34.2％：H28）</t>
    <rPh sb="1" eb="4">
      <t>キジュンチ</t>
    </rPh>
    <phoneticPr fontId="13"/>
  </si>
  <si>
    <t>人数</t>
    <rPh sb="0" eb="2">
      <t>ニンズウ</t>
    </rPh>
    <phoneticPr fontId="13"/>
  </si>
  <si>
    <t>　　　８０２０（７５～８４歳）：50.0%以上</t>
    <rPh sb="13" eb="14">
      <t>サイ</t>
    </rPh>
    <rPh sb="21" eb="23">
      <t>イジョウ</t>
    </rPh>
    <phoneticPr fontId="13"/>
  </si>
  <si>
    <t>・８０２０について</t>
    <phoneticPr fontId="13"/>
  </si>
  <si>
    <t>・６０２４について</t>
    <phoneticPr fontId="13"/>
  </si>
  <si>
    <t>（基準値48.0％：H28）</t>
    <rPh sb="1" eb="4">
      <t>キジュンチ</t>
    </rPh>
    <phoneticPr fontId="13"/>
  </si>
  <si>
    <t>　　　６０２４（５５～６４歳）：60.0%以上</t>
    <rPh sb="13" eb="14">
      <t>サイ</t>
    </rPh>
    <rPh sb="21" eb="23">
      <t>イジョウ</t>
    </rPh>
    <phoneticPr fontId="13"/>
  </si>
  <si>
    <t>　　☆８０２０歯っぴぃプラン目標値：</t>
    <rPh sb="7" eb="8">
      <t>ハ</t>
    </rPh>
    <rPh sb="14" eb="17">
      <t>モクヒョウチ</t>
    </rPh>
    <phoneticPr fontId="13"/>
  </si>
  <si>
    <t>平均歯数</t>
    <rPh sb="0" eb="2">
      <t>ヘイキン</t>
    </rPh>
    <rPh sb="2" eb="3">
      <t>ハ</t>
    </rPh>
    <rPh sb="3" eb="4">
      <t>スウ</t>
    </rPh>
    <phoneticPr fontId="13"/>
  </si>
  <si>
    <t>max(歯数)</t>
    <rPh sb="4" eb="5">
      <t>ハ</t>
    </rPh>
    <rPh sb="5" eb="6">
      <t>スウ</t>
    </rPh>
    <phoneticPr fontId="13"/>
  </si>
  <si>
    <t>min(歯数)</t>
    <rPh sb="4" eb="5">
      <t>ハ</t>
    </rPh>
    <rPh sb="5" eb="6">
      <t>スウ</t>
    </rPh>
    <phoneticPr fontId="13"/>
  </si>
  <si>
    <t>有効回答</t>
    <rPh sb="0" eb="2">
      <t>ユウコウ</t>
    </rPh>
    <rPh sb="2" eb="4">
      <t>カイトウ</t>
    </rPh>
    <phoneticPr fontId="13"/>
  </si>
  <si>
    <t>（人/本）</t>
    <rPh sb="1" eb="2">
      <t>ニン</t>
    </rPh>
    <rPh sb="3" eb="4">
      <t>ホン</t>
    </rPh>
    <phoneticPr fontId="13"/>
  </si>
  <si>
    <t>●問７：（残存歯数）自分の歯は何本ありますか。</t>
    <rPh sb="1" eb="2">
      <t>トイ</t>
    </rPh>
    <rPh sb="5" eb="7">
      <t>ザンゾン</t>
    </rPh>
    <rPh sb="7" eb="8">
      <t>ハ</t>
    </rPh>
    <rPh sb="8" eb="9">
      <t>スウ</t>
    </rPh>
    <rPh sb="10" eb="12">
      <t>ジブン</t>
    </rPh>
    <rPh sb="13" eb="14">
      <t>ハ</t>
    </rPh>
    <rPh sb="15" eb="16">
      <t>ナン</t>
    </rPh>
    <rPh sb="16" eb="17">
      <t>ホン</t>
    </rPh>
    <phoneticPr fontId="13"/>
  </si>
  <si>
    <t>（基準値66.8％：H28）</t>
    <rPh sb="1" eb="4">
      <t>キジュンチ</t>
    </rPh>
    <phoneticPr fontId="13"/>
  </si>
  <si>
    <t>　　　６０歳代における咀嚼良好者の割合：80.0%以上</t>
    <rPh sb="5" eb="7">
      <t>サイダイ</t>
    </rPh>
    <rPh sb="11" eb="13">
      <t>ソシャク</t>
    </rPh>
    <rPh sb="13" eb="15">
      <t>リョウコウ</t>
    </rPh>
    <rPh sb="15" eb="16">
      <t>シャ</t>
    </rPh>
    <rPh sb="17" eb="19">
      <t>ワリアイ</t>
    </rPh>
    <rPh sb="25" eb="27">
      <t>イジョウ</t>
    </rPh>
    <phoneticPr fontId="13"/>
  </si>
  <si>
    <t>９０歳代</t>
    <rPh sb="2" eb="4">
      <t>サイダイ</t>
    </rPh>
    <phoneticPr fontId="13"/>
  </si>
  <si>
    <t>３．ほとんどかめない</t>
    <phoneticPr fontId="13"/>
  </si>
  <si>
    <t>２．かみにくいことがある</t>
    <phoneticPr fontId="13"/>
  </si>
  <si>
    <t>１．なんでもかんで食べることができる</t>
    <phoneticPr fontId="13"/>
  </si>
  <si>
    <t>●問６ 食事をかんで食べるときの状態はどれにあてはまりますか。</t>
    <rPh sb="1" eb="2">
      <t>トイ</t>
    </rPh>
    <phoneticPr fontId="13"/>
  </si>
  <si>
    <t>有所見者率</t>
    <rPh sb="0" eb="1">
      <t>ユウ</t>
    </rPh>
    <rPh sb="1" eb="3">
      <t>ショケン</t>
    </rPh>
    <rPh sb="3" eb="4">
      <t>シャ</t>
    </rPh>
    <rPh sb="4" eb="5">
      <t>リツ</t>
    </rPh>
    <phoneticPr fontId="13"/>
  </si>
  <si>
    <t>有所見者</t>
    <rPh sb="0" eb="1">
      <t>ユウ</t>
    </rPh>
    <rPh sb="1" eb="3">
      <t>ショケン</t>
    </rPh>
    <rPh sb="3" eb="4">
      <t>シャ</t>
    </rPh>
    <phoneticPr fontId="13"/>
  </si>
  <si>
    <t>全体</t>
    <rPh sb="0" eb="2">
      <t>ゼンタイ</t>
    </rPh>
    <phoneticPr fontId="13"/>
  </si>
  <si>
    <t>※問５ア・イのいずれか一方、又は両方に「１．はい」と回答した人</t>
    <rPh sb="1" eb="2">
      <t>トイ</t>
    </rPh>
    <rPh sb="11" eb="13">
      <t>イッポウ</t>
    </rPh>
    <rPh sb="14" eb="15">
      <t>マタ</t>
    </rPh>
    <rPh sb="16" eb="18">
      <t>リョウホウ</t>
    </rPh>
    <rPh sb="26" eb="28">
      <t>カイトウ</t>
    </rPh>
    <rPh sb="30" eb="31">
      <t>ヒト</t>
    </rPh>
    <phoneticPr fontId="13"/>
  </si>
  <si>
    <t>（基準値29.8％：H28）</t>
    <rPh sb="1" eb="4">
      <t>キジュンチ</t>
    </rPh>
    <phoneticPr fontId="13"/>
  </si>
  <si>
    <t>　　　２０歳代で歯肉に炎症所見を有する人（※）の割合：25.0%以下</t>
    <rPh sb="5" eb="7">
      <t>サイダイ</t>
    </rPh>
    <rPh sb="8" eb="10">
      <t>シニク</t>
    </rPh>
    <rPh sb="11" eb="13">
      <t>エンショウ</t>
    </rPh>
    <rPh sb="13" eb="15">
      <t>ショケン</t>
    </rPh>
    <rPh sb="16" eb="17">
      <t>ユウ</t>
    </rPh>
    <rPh sb="19" eb="20">
      <t>ヒト</t>
    </rPh>
    <rPh sb="24" eb="26">
      <t>ワリアイ</t>
    </rPh>
    <rPh sb="32" eb="34">
      <t>イカ</t>
    </rPh>
    <phoneticPr fontId="13"/>
  </si>
  <si>
    <t>２．いいえ</t>
    <phoneticPr fontId="13"/>
  </si>
  <si>
    <t>１．はい</t>
    <phoneticPr fontId="13"/>
  </si>
  <si>
    <t>●問５ イ：（歯や歯ぐきの状態について）歯ぐきが腫れてブヨブヨしますか。</t>
    <rPh sb="1" eb="2">
      <t>トイ</t>
    </rPh>
    <rPh sb="7" eb="8">
      <t>ハ</t>
    </rPh>
    <rPh sb="9" eb="10">
      <t>ハ</t>
    </rPh>
    <rPh sb="13" eb="15">
      <t>ジョウタイ</t>
    </rPh>
    <rPh sb="20" eb="21">
      <t>ハ</t>
    </rPh>
    <rPh sb="24" eb="25">
      <t>ハ</t>
    </rPh>
    <phoneticPr fontId="13"/>
  </si>
  <si>
    <t>●問５ ア：（歯や歯ぐきの状態について）歯をみがくと血がでますか。</t>
    <rPh sb="1" eb="2">
      <t>トイ</t>
    </rPh>
    <rPh sb="7" eb="8">
      <t>ハ</t>
    </rPh>
    <rPh sb="9" eb="10">
      <t>ハ</t>
    </rPh>
    <rPh sb="13" eb="15">
      <t>ジョウタイ</t>
    </rPh>
    <rPh sb="20" eb="21">
      <t>ハ</t>
    </rPh>
    <rPh sb="26" eb="27">
      <t>チ</t>
    </rPh>
    <phoneticPr fontId="13"/>
  </si>
  <si>
    <t>（基準値28.3％：H28）</t>
    <rPh sb="1" eb="4">
      <t>キジュンチ</t>
    </rPh>
    <phoneticPr fontId="13"/>
  </si>
  <si>
    <t>　　　過去１年間に歯科健診を受診：40.0%以上</t>
    <rPh sb="3" eb="5">
      <t>カコ</t>
    </rPh>
    <rPh sb="6" eb="8">
      <t>ネンカン</t>
    </rPh>
    <rPh sb="9" eb="11">
      <t>シカ</t>
    </rPh>
    <rPh sb="11" eb="13">
      <t>ケンシン</t>
    </rPh>
    <rPh sb="14" eb="16">
      <t>ジュシン</t>
    </rPh>
    <rPh sb="22" eb="24">
      <t>イジョウ</t>
    </rPh>
    <phoneticPr fontId="13"/>
  </si>
  <si>
    <t>●問４：歯科医療機関等で定期的（１年間に１回以上）に歯科健康診査を受けていますか。</t>
    <rPh sb="1" eb="2">
      <t>トイ</t>
    </rPh>
    <rPh sb="4" eb="8">
      <t>シカイリョウ</t>
    </rPh>
    <rPh sb="8" eb="10">
      <t>キカン</t>
    </rPh>
    <rPh sb="10" eb="11">
      <t>トウ</t>
    </rPh>
    <rPh sb="12" eb="15">
      <t>テイキテキ</t>
    </rPh>
    <rPh sb="17" eb="19">
      <t>ネンカン</t>
    </rPh>
    <rPh sb="21" eb="22">
      <t>カイ</t>
    </rPh>
    <rPh sb="22" eb="24">
      <t>イジョウ</t>
    </rPh>
    <rPh sb="26" eb="28">
      <t>シカ</t>
    </rPh>
    <rPh sb="28" eb="30">
      <t>ケンコウ</t>
    </rPh>
    <rPh sb="30" eb="32">
      <t>シンサ</t>
    </rPh>
    <rPh sb="33" eb="34">
      <t>ウ</t>
    </rPh>
    <phoneticPr fontId="13"/>
  </si>
  <si>
    <t>（基準値54.8％：H28）</t>
    <rPh sb="1" eb="4">
      <t>キジュンチ</t>
    </rPh>
    <phoneticPr fontId="13"/>
  </si>
  <si>
    <t>　　　５０歳代で使用する人：60.0%以上</t>
    <rPh sb="5" eb="6">
      <t>サイ</t>
    </rPh>
    <rPh sb="6" eb="7">
      <t>ダイ</t>
    </rPh>
    <rPh sb="8" eb="10">
      <t>シヨウ</t>
    </rPh>
    <rPh sb="12" eb="13">
      <t>ヒト</t>
    </rPh>
    <rPh sb="19" eb="21">
      <t>イジョウ</t>
    </rPh>
    <phoneticPr fontId="13"/>
  </si>
  <si>
    <t>（基準値53.6％：H28）</t>
    <rPh sb="1" eb="4">
      <t>キジュンチ</t>
    </rPh>
    <phoneticPr fontId="13"/>
  </si>
  <si>
    <t>　　　４０歳代で使用する人：60.0%以上</t>
    <rPh sb="5" eb="6">
      <t>サイ</t>
    </rPh>
    <rPh sb="6" eb="7">
      <t>ダイ</t>
    </rPh>
    <rPh sb="8" eb="10">
      <t>シヨウ</t>
    </rPh>
    <rPh sb="12" eb="13">
      <t>ヒト</t>
    </rPh>
    <rPh sb="19" eb="21">
      <t>イジョウ</t>
    </rPh>
    <phoneticPr fontId="13"/>
  </si>
  <si>
    <t>４．使っていない</t>
    <rPh sb="2" eb="3">
      <t>ツカ</t>
    </rPh>
    <phoneticPr fontId="13"/>
  </si>
  <si>
    <t>３．たまに使っている</t>
    <rPh sb="5" eb="6">
      <t>ツカ</t>
    </rPh>
    <phoneticPr fontId="13"/>
  </si>
  <si>
    <t>２．時々使っている</t>
    <rPh sb="2" eb="4">
      <t>トキドキ</t>
    </rPh>
    <rPh sb="4" eb="5">
      <t>ツカ</t>
    </rPh>
    <phoneticPr fontId="13"/>
  </si>
  <si>
    <t>１．毎日使っている</t>
    <rPh sb="2" eb="4">
      <t>マイニチ</t>
    </rPh>
    <rPh sb="4" eb="5">
      <t>ツカ</t>
    </rPh>
    <phoneticPr fontId="13"/>
  </si>
  <si>
    <t>●問３：歯磨きの際に歯間ブラシまたはフロスを使っていますか。</t>
    <rPh sb="1" eb="2">
      <t>トイ</t>
    </rPh>
    <rPh sb="4" eb="6">
      <t>ハミガ</t>
    </rPh>
    <rPh sb="8" eb="9">
      <t>サイ</t>
    </rPh>
    <rPh sb="10" eb="12">
      <t>シカン</t>
    </rPh>
    <rPh sb="22" eb="23">
      <t>ツカ</t>
    </rPh>
    <phoneticPr fontId="13"/>
  </si>
  <si>
    <t>５７．１歳</t>
    <rPh sb="4" eb="5">
      <t>サイ</t>
    </rPh>
    <phoneticPr fontId="13"/>
  </si>
  <si>
    <t>平均年齢：</t>
    <rPh sb="0" eb="2">
      <t>ヘイキン</t>
    </rPh>
    <rPh sb="2" eb="4">
      <t>ネンレイ</t>
    </rPh>
    <phoneticPr fontId="13"/>
  </si>
  <si>
    <t>１０１歳</t>
    <rPh sb="3" eb="4">
      <t>サイ</t>
    </rPh>
    <phoneticPr fontId="13"/>
  </si>
  <si>
    <t>最高齢：</t>
    <rPh sb="0" eb="3">
      <t>サイコウレイ</t>
    </rPh>
    <phoneticPr fontId="13"/>
  </si>
  <si>
    <t>構成割合</t>
    <rPh sb="0" eb="2">
      <t>コウセイ</t>
    </rPh>
    <rPh sb="2" eb="4">
      <t>ワリアイ</t>
    </rPh>
    <phoneticPr fontId="13"/>
  </si>
  <si>
    <t>２０歳</t>
    <rPh sb="2" eb="3">
      <t>サイ</t>
    </rPh>
    <phoneticPr fontId="13"/>
  </si>
  <si>
    <t>最年少：</t>
    <rPh sb="0" eb="3">
      <t>サイネンショウ</t>
    </rPh>
    <phoneticPr fontId="13"/>
  </si>
  <si>
    <t>女性</t>
    <rPh sb="0" eb="2">
      <t>ジョセイ</t>
    </rPh>
    <phoneticPr fontId="13"/>
  </si>
  <si>
    <t>6,058人</t>
    <rPh sb="5" eb="6">
      <t>ニン</t>
    </rPh>
    <phoneticPr fontId="13"/>
  </si>
  <si>
    <t>合計：</t>
    <rPh sb="0" eb="2">
      <t>ゴウケイ</t>
    </rPh>
    <phoneticPr fontId="13"/>
  </si>
  <si>
    <t>男性</t>
    <rPh sb="0" eb="2">
      <t>ダンセイ</t>
    </rPh>
    <phoneticPr fontId="13"/>
  </si>
  <si>
    <t>3,217人</t>
    <rPh sb="5" eb="6">
      <t>ニン</t>
    </rPh>
    <phoneticPr fontId="13"/>
  </si>
  <si>
    <t>女性：</t>
    <rPh sb="0" eb="2">
      <t>ジョセイ</t>
    </rPh>
    <phoneticPr fontId="13"/>
  </si>
  <si>
    <t>2,841人</t>
    <rPh sb="5" eb="6">
      <t>ニン</t>
    </rPh>
    <phoneticPr fontId="13"/>
  </si>
  <si>
    <t>男性：</t>
    <rPh sb="0" eb="2">
      <t>ダンセイ</t>
    </rPh>
    <phoneticPr fontId="13"/>
  </si>
  <si>
    <t>●問１及び問２：回答者の性別及び年齢について</t>
    <rPh sb="1" eb="2">
      <t>トイ</t>
    </rPh>
    <rPh sb="3" eb="4">
      <t>オヨ</t>
    </rPh>
    <rPh sb="5" eb="6">
      <t>トイ</t>
    </rPh>
    <rPh sb="8" eb="11">
      <t>カイトウシャ</t>
    </rPh>
    <rPh sb="12" eb="14">
      <t>セイベツ</t>
    </rPh>
    <rPh sb="14" eb="15">
      <t>オヨ</t>
    </rPh>
    <rPh sb="16" eb="18">
      <t>ネンレイ</t>
    </rPh>
    <phoneticPr fontId="13"/>
  </si>
  <si>
    <t>【設問別集計結果】</t>
    <rPh sb="1" eb="3">
      <t>セツモン</t>
    </rPh>
    <rPh sb="3" eb="4">
      <t>ベツ</t>
    </rPh>
    <rPh sb="4" eb="6">
      <t>シュウケイ</t>
    </rPh>
    <rPh sb="6" eb="8">
      <t>ケッカ</t>
    </rPh>
    <phoneticPr fontId="13"/>
  </si>
  <si>
    <t>　・調査参加者数：6,058人（性別、年齢不明者又は２０歳未満の者を除く）</t>
    <rPh sb="2" eb="4">
      <t>チョウサ</t>
    </rPh>
    <rPh sb="4" eb="7">
      <t>サンカシャ</t>
    </rPh>
    <rPh sb="7" eb="8">
      <t>スウ</t>
    </rPh>
    <rPh sb="14" eb="15">
      <t>ニン</t>
    </rPh>
    <rPh sb="16" eb="18">
      <t>セイベツ</t>
    </rPh>
    <rPh sb="19" eb="21">
      <t>ネンレイ</t>
    </rPh>
    <rPh sb="21" eb="24">
      <t>フメイシャ</t>
    </rPh>
    <rPh sb="24" eb="25">
      <t>マタ</t>
    </rPh>
    <rPh sb="28" eb="31">
      <t>サイミマン</t>
    </rPh>
    <rPh sb="32" eb="33">
      <t>モノ</t>
    </rPh>
    <rPh sb="34" eb="35">
      <t>ノゾ</t>
    </rPh>
    <phoneticPr fontId="13"/>
  </si>
  <si>
    <t>　</t>
    <phoneticPr fontId="13"/>
  </si>
  <si>
    <t>　・調査実施市町村数：３２市町村（１４振興局管内）</t>
    <rPh sb="2" eb="4">
      <t>チョウサ</t>
    </rPh>
    <rPh sb="4" eb="6">
      <t>ジッシ</t>
    </rPh>
    <rPh sb="6" eb="9">
      <t>シチョウソン</t>
    </rPh>
    <rPh sb="9" eb="10">
      <t>スウ</t>
    </rPh>
    <rPh sb="13" eb="16">
      <t>シチョウソン</t>
    </rPh>
    <rPh sb="19" eb="22">
      <t>シンコウキョク</t>
    </rPh>
    <rPh sb="22" eb="24">
      <t>カンナイ</t>
    </rPh>
    <phoneticPr fontId="13"/>
  </si>
  <si>
    <t>　・調査実施時期：令和元年（2019年）５月～令和２年（2020年）３月</t>
    <rPh sb="2" eb="4">
      <t>チョウサ</t>
    </rPh>
    <rPh sb="4" eb="6">
      <t>ジッシ</t>
    </rPh>
    <rPh sb="6" eb="8">
      <t>ジキ</t>
    </rPh>
    <rPh sb="9" eb="11">
      <t>レイワ</t>
    </rPh>
    <rPh sb="11" eb="12">
      <t>ガン</t>
    </rPh>
    <rPh sb="12" eb="13">
      <t>ネン</t>
    </rPh>
    <rPh sb="18" eb="19">
      <t>ネン</t>
    </rPh>
    <rPh sb="21" eb="22">
      <t>ゲツ</t>
    </rPh>
    <rPh sb="23" eb="25">
      <t>レイワ</t>
    </rPh>
    <rPh sb="26" eb="27">
      <t>ネン</t>
    </rPh>
    <rPh sb="32" eb="33">
      <t>ネン</t>
    </rPh>
    <rPh sb="35" eb="36">
      <t>ゲツ</t>
    </rPh>
    <phoneticPr fontId="13"/>
  </si>
  <si>
    <t>【調査概要】</t>
    <rPh sb="1" eb="3">
      <t>チョウサ</t>
    </rPh>
    <rPh sb="3" eb="5">
      <t>ガイヨウ</t>
    </rPh>
    <phoneticPr fontId="13"/>
  </si>
  <si>
    <t>【平成３１年度（2019年度）成人歯科保健に係る道民歯科保健実態調査　集計結果】</t>
    <rPh sb="1" eb="3">
      <t>ヘイセイ</t>
    </rPh>
    <rPh sb="5" eb="7">
      <t>ネンド</t>
    </rPh>
    <rPh sb="12" eb="14">
      <t>ネンド</t>
    </rPh>
    <rPh sb="15" eb="17">
      <t>セイジン</t>
    </rPh>
    <rPh sb="17" eb="19">
      <t>シカ</t>
    </rPh>
    <rPh sb="19" eb="21">
      <t>ホケン</t>
    </rPh>
    <rPh sb="22" eb="23">
      <t>カカ</t>
    </rPh>
    <rPh sb="24" eb="26">
      <t>ドウミン</t>
    </rPh>
    <rPh sb="26" eb="28">
      <t>シカ</t>
    </rPh>
    <rPh sb="28" eb="30">
      <t>ホケン</t>
    </rPh>
    <rPh sb="30" eb="32">
      <t>ジッタイ</t>
    </rPh>
    <rPh sb="32" eb="34">
      <t>チョウサ</t>
    </rPh>
    <rPh sb="35" eb="37">
      <t>シュウケイ</t>
    </rPh>
    <rPh sb="37" eb="39">
      <t>ケッカ</t>
    </rPh>
    <phoneticPr fontId="13"/>
  </si>
  <si>
    <t>・６０２４について</t>
    <phoneticPr fontId="13"/>
  </si>
  <si>
    <t>３．ほとんどかめない</t>
    <phoneticPr fontId="13"/>
  </si>
  <si>
    <t>２．かみにくいことがある</t>
    <phoneticPr fontId="13"/>
  </si>
  <si>
    <t>１．なんでもかんで食べることができる</t>
    <phoneticPr fontId="13"/>
  </si>
  <si>
    <t>１．なんでもかんで食べることができる</t>
    <phoneticPr fontId="13"/>
  </si>
  <si>
    <t>２．いいえ</t>
    <phoneticPr fontId="13"/>
  </si>
  <si>
    <t>１．はい</t>
    <phoneticPr fontId="13"/>
  </si>
  <si>
    <t>２．いいえ</t>
    <phoneticPr fontId="13"/>
  </si>
  <si>
    <t>１．はい</t>
    <phoneticPr fontId="13"/>
  </si>
  <si>
    <t>５９．５歳</t>
    <rPh sb="4" eb="5">
      <t>サイ</t>
    </rPh>
    <phoneticPr fontId="13"/>
  </si>
  <si>
    <t>９２歳</t>
    <rPh sb="2" eb="3">
      <t>サイ</t>
    </rPh>
    <phoneticPr fontId="13"/>
  </si>
  <si>
    <t>4,251人</t>
    <rPh sb="5" eb="6">
      <t>ニン</t>
    </rPh>
    <phoneticPr fontId="13"/>
  </si>
  <si>
    <t>2,449人</t>
    <rPh sb="5" eb="6">
      <t>ニン</t>
    </rPh>
    <phoneticPr fontId="13"/>
  </si>
  <si>
    <t>1,802人</t>
    <rPh sb="5" eb="6">
      <t>ニン</t>
    </rPh>
    <phoneticPr fontId="13"/>
  </si>
  <si>
    <t>　・調査参加者数：4,251人（性別、年齢不明者を除く）</t>
    <rPh sb="2" eb="4">
      <t>チョウサ</t>
    </rPh>
    <rPh sb="4" eb="7">
      <t>サンカシャ</t>
    </rPh>
    <rPh sb="7" eb="8">
      <t>スウ</t>
    </rPh>
    <rPh sb="14" eb="15">
      <t>ニン</t>
    </rPh>
    <rPh sb="16" eb="18">
      <t>セイベツ</t>
    </rPh>
    <rPh sb="19" eb="21">
      <t>ネンレイ</t>
    </rPh>
    <rPh sb="21" eb="24">
      <t>フメイシャ</t>
    </rPh>
    <rPh sb="25" eb="26">
      <t>ノゾ</t>
    </rPh>
    <phoneticPr fontId="13"/>
  </si>
  <si>
    <t>　</t>
    <phoneticPr fontId="13"/>
  </si>
  <si>
    <t>　・調査実施市町村数：３３市町村（１４振興局管内）</t>
    <rPh sb="2" eb="4">
      <t>チョウサ</t>
    </rPh>
    <rPh sb="4" eb="6">
      <t>ジッシ</t>
    </rPh>
    <rPh sb="6" eb="9">
      <t>シチョウソン</t>
    </rPh>
    <rPh sb="9" eb="10">
      <t>スウ</t>
    </rPh>
    <rPh sb="13" eb="16">
      <t>シチョウソン</t>
    </rPh>
    <rPh sb="19" eb="22">
      <t>シンコウキョク</t>
    </rPh>
    <rPh sb="22" eb="24">
      <t>カンナイ</t>
    </rPh>
    <phoneticPr fontId="13"/>
  </si>
  <si>
    <t>　・調査実施時期：平成３０年（2018年）５月～平成３１年（2019年）３月</t>
    <rPh sb="2" eb="4">
      <t>チョウサ</t>
    </rPh>
    <rPh sb="4" eb="6">
      <t>ジッシ</t>
    </rPh>
    <rPh sb="6" eb="8">
      <t>ジキ</t>
    </rPh>
    <rPh sb="9" eb="11">
      <t>ヘイセイ</t>
    </rPh>
    <rPh sb="13" eb="14">
      <t>ネン</t>
    </rPh>
    <rPh sb="19" eb="20">
      <t>ネン</t>
    </rPh>
    <rPh sb="22" eb="23">
      <t>ゲツ</t>
    </rPh>
    <rPh sb="24" eb="26">
      <t>ヘイセイ</t>
    </rPh>
    <rPh sb="28" eb="29">
      <t>ネン</t>
    </rPh>
    <rPh sb="34" eb="35">
      <t>ネン</t>
    </rPh>
    <rPh sb="37" eb="38">
      <t>ゲツ</t>
    </rPh>
    <phoneticPr fontId="13"/>
  </si>
  <si>
    <t>【平成３０年度（2018年度）成人歯科保健に係る道民歯科保健実態調査　集計結果】</t>
    <rPh sb="1" eb="3">
      <t>ヘイセイ</t>
    </rPh>
    <rPh sb="5" eb="7">
      <t>ネンド</t>
    </rPh>
    <rPh sb="12" eb="14">
      <t>ネンド</t>
    </rPh>
    <rPh sb="15" eb="17">
      <t>セイジン</t>
    </rPh>
    <rPh sb="17" eb="19">
      <t>シカ</t>
    </rPh>
    <rPh sb="19" eb="21">
      <t>ホケン</t>
    </rPh>
    <rPh sb="22" eb="23">
      <t>カカ</t>
    </rPh>
    <rPh sb="24" eb="26">
      <t>ドウミン</t>
    </rPh>
    <rPh sb="26" eb="28">
      <t>シカ</t>
    </rPh>
    <rPh sb="28" eb="30">
      <t>ホケン</t>
    </rPh>
    <rPh sb="30" eb="32">
      <t>ジッタイ</t>
    </rPh>
    <rPh sb="32" eb="34">
      <t>チョウサ</t>
    </rPh>
    <rPh sb="35" eb="37">
      <t>シュウケイ</t>
    </rPh>
    <rPh sb="37" eb="39">
      <t>ケッカ</t>
    </rPh>
    <phoneticPr fontId="13"/>
  </si>
  <si>
    <t>　　　８０２０（７５～８４歳）：３５％以上</t>
    <rPh sb="13" eb="14">
      <t>サイ</t>
    </rPh>
    <rPh sb="19" eb="21">
      <t>イジョウ</t>
    </rPh>
    <phoneticPr fontId="13"/>
  </si>
  <si>
    <t>　　　６０２４（５５～６４歳）：５０％以上</t>
    <rPh sb="13" eb="14">
      <t>サイ</t>
    </rPh>
    <rPh sb="19" eb="21">
      <t>イジョウ</t>
    </rPh>
    <phoneticPr fontId="13"/>
  </si>
  <si>
    <t>●問６ ウ：（ふだん食べる時の状況について）おいしく味わって食べている</t>
    <rPh sb="1" eb="2">
      <t>トイ</t>
    </rPh>
    <rPh sb="10" eb="11">
      <t>タ</t>
    </rPh>
    <rPh sb="13" eb="14">
      <t>トキ</t>
    </rPh>
    <rPh sb="15" eb="17">
      <t>ジョウキョウ</t>
    </rPh>
    <rPh sb="26" eb="27">
      <t>アジ</t>
    </rPh>
    <rPh sb="30" eb="31">
      <t>タ</t>
    </rPh>
    <phoneticPr fontId="13"/>
  </si>
  <si>
    <t>●問６ イ：（ふだん食べる時の状況について）よくかんで食べている</t>
    <rPh sb="1" eb="2">
      <t>トイ</t>
    </rPh>
    <rPh sb="10" eb="11">
      <t>タ</t>
    </rPh>
    <rPh sb="13" eb="14">
      <t>トキ</t>
    </rPh>
    <rPh sb="15" eb="17">
      <t>ジョウキョウ</t>
    </rPh>
    <rPh sb="27" eb="28">
      <t>タ</t>
    </rPh>
    <phoneticPr fontId="13"/>
  </si>
  <si>
    <t>（基準値83.4％：H23）</t>
    <rPh sb="1" eb="4">
      <t>キジュンチ</t>
    </rPh>
    <phoneticPr fontId="13"/>
  </si>
  <si>
    <t>　　　６０歳代における咀嚼良好者の割合：増加</t>
    <rPh sb="5" eb="7">
      <t>サイダイ</t>
    </rPh>
    <rPh sb="11" eb="13">
      <t>ソシャク</t>
    </rPh>
    <rPh sb="13" eb="15">
      <t>リョウコウ</t>
    </rPh>
    <rPh sb="15" eb="16">
      <t>シャ</t>
    </rPh>
    <rPh sb="17" eb="19">
      <t>ワリアイ</t>
    </rPh>
    <rPh sb="20" eb="22">
      <t>ゾウカ</t>
    </rPh>
    <phoneticPr fontId="13"/>
  </si>
  <si>
    <t>●問６ ア：（ふだん食べる時の状況について）何でもかんで食べることができる</t>
    <rPh sb="1" eb="2">
      <t>トイ</t>
    </rPh>
    <rPh sb="10" eb="11">
      <t>タ</t>
    </rPh>
    <rPh sb="13" eb="14">
      <t>トキ</t>
    </rPh>
    <rPh sb="15" eb="17">
      <t>ジョウキョウ</t>
    </rPh>
    <rPh sb="22" eb="23">
      <t>ナン</t>
    </rPh>
    <rPh sb="28" eb="29">
      <t>タ</t>
    </rPh>
    <phoneticPr fontId="13"/>
  </si>
  <si>
    <t>　　　過去１年間に歯科健診を受診：３０％以上</t>
    <rPh sb="3" eb="5">
      <t>カコ</t>
    </rPh>
    <rPh sb="6" eb="8">
      <t>ネンカン</t>
    </rPh>
    <rPh sb="9" eb="11">
      <t>シカ</t>
    </rPh>
    <rPh sb="11" eb="13">
      <t>ケンシン</t>
    </rPh>
    <rPh sb="14" eb="16">
      <t>ジュシン</t>
    </rPh>
    <rPh sb="20" eb="22">
      <t>イジョウ</t>
    </rPh>
    <phoneticPr fontId="13"/>
  </si>
  <si>
    <t>　　　５０代で使用する人：５０％以上</t>
    <rPh sb="5" eb="6">
      <t>ダイ</t>
    </rPh>
    <rPh sb="7" eb="9">
      <t>シヨウ</t>
    </rPh>
    <rPh sb="11" eb="12">
      <t>ヒト</t>
    </rPh>
    <rPh sb="16" eb="18">
      <t>イジョウ</t>
    </rPh>
    <phoneticPr fontId="13"/>
  </si>
  <si>
    <t>　　　４０代で使用する人：５０％以上</t>
    <rPh sb="5" eb="6">
      <t>ダイ</t>
    </rPh>
    <rPh sb="7" eb="9">
      <t>シヨウ</t>
    </rPh>
    <rPh sb="11" eb="12">
      <t>ヒト</t>
    </rPh>
    <rPh sb="16" eb="18">
      <t>イジョウ</t>
    </rPh>
    <phoneticPr fontId="13"/>
  </si>
  <si>
    <t>５７．３歳</t>
    <rPh sb="4" eb="5">
      <t>サイ</t>
    </rPh>
    <phoneticPr fontId="13"/>
  </si>
  <si>
    <t>９５歳</t>
    <rPh sb="2" eb="3">
      <t>サイ</t>
    </rPh>
    <phoneticPr fontId="13"/>
  </si>
  <si>
    <t>4,748人</t>
    <rPh sb="5" eb="6">
      <t>ニン</t>
    </rPh>
    <phoneticPr fontId="13"/>
  </si>
  <si>
    <t>2,710人</t>
    <rPh sb="5" eb="6">
      <t>ニン</t>
    </rPh>
    <phoneticPr fontId="13"/>
  </si>
  <si>
    <t>2,038人</t>
    <rPh sb="5" eb="6">
      <t>ニン</t>
    </rPh>
    <phoneticPr fontId="13"/>
  </si>
  <si>
    <t>　・調査参加者数：４，７４８名（性別、年齢不明者を除く）</t>
    <rPh sb="2" eb="4">
      <t>チョウサ</t>
    </rPh>
    <rPh sb="4" eb="7">
      <t>サンカシャ</t>
    </rPh>
    <rPh sb="7" eb="8">
      <t>スウ</t>
    </rPh>
    <rPh sb="14" eb="15">
      <t>メイ</t>
    </rPh>
    <rPh sb="16" eb="18">
      <t>セイベツ</t>
    </rPh>
    <rPh sb="19" eb="21">
      <t>ネンレイ</t>
    </rPh>
    <rPh sb="21" eb="24">
      <t>フメイシャ</t>
    </rPh>
    <rPh sb="25" eb="26">
      <t>ノゾ</t>
    </rPh>
    <phoneticPr fontId="13"/>
  </si>
  <si>
    <t>　・調査実施市町村数：３４市町村（１４振興局管内）</t>
    <rPh sb="2" eb="4">
      <t>チョウサ</t>
    </rPh>
    <rPh sb="4" eb="6">
      <t>ジッシ</t>
    </rPh>
    <rPh sb="6" eb="9">
      <t>シチョウソン</t>
    </rPh>
    <rPh sb="9" eb="10">
      <t>スウ</t>
    </rPh>
    <rPh sb="13" eb="16">
      <t>シチョウソン</t>
    </rPh>
    <rPh sb="19" eb="22">
      <t>シンコウキョク</t>
    </rPh>
    <rPh sb="22" eb="24">
      <t>カンナイ</t>
    </rPh>
    <phoneticPr fontId="13"/>
  </si>
  <si>
    <t>　・調査実施時期：平成２９年５月～平成３０年３月</t>
    <rPh sb="2" eb="4">
      <t>チョウサ</t>
    </rPh>
    <rPh sb="4" eb="6">
      <t>ジッシ</t>
    </rPh>
    <rPh sb="6" eb="8">
      <t>ジキ</t>
    </rPh>
    <rPh sb="9" eb="11">
      <t>ヘイセイ</t>
    </rPh>
    <rPh sb="13" eb="14">
      <t>ネン</t>
    </rPh>
    <rPh sb="15" eb="16">
      <t>ゲツ</t>
    </rPh>
    <rPh sb="17" eb="19">
      <t>ヘイセイ</t>
    </rPh>
    <rPh sb="21" eb="22">
      <t>ネン</t>
    </rPh>
    <rPh sb="23" eb="24">
      <t>ゲツ</t>
    </rPh>
    <phoneticPr fontId="13"/>
  </si>
  <si>
    <t>【平成２９年度　成人歯科保健に係る道民歯科保健実態調査　集計結果】</t>
    <rPh sb="1" eb="3">
      <t>ヘイセイ</t>
    </rPh>
    <rPh sb="5" eb="7">
      <t>ネンド</t>
    </rPh>
    <rPh sb="8" eb="10">
      <t>セイジン</t>
    </rPh>
    <rPh sb="10" eb="12">
      <t>シカ</t>
    </rPh>
    <rPh sb="12" eb="14">
      <t>ホケン</t>
    </rPh>
    <rPh sb="15" eb="16">
      <t>カカ</t>
    </rPh>
    <rPh sb="17" eb="19">
      <t>ドウミン</t>
    </rPh>
    <rPh sb="19" eb="21">
      <t>シカ</t>
    </rPh>
    <rPh sb="21" eb="23">
      <t>ホケン</t>
    </rPh>
    <rPh sb="23" eb="25">
      <t>ジッタイ</t>
    </rPh>
    <rPh sb="25" eb="27">
      <t>チョウサ</t>
    </rPh>
    <rPh sb="28" eb="30">
      <t>シュウケイ</t>
    </rPh>
    <rPh sb="30" eb="32">
      <t>ケッカ</t>
    </rPh>
    <phoneticPr fontId="13"/>
  </si>
  <si>
    <t>無回答</t>
    <rPh sb="0" eb="3">
      <t>ムカイトウ</t>
    </rPh>
    <phoneticPr fontId="13"/>
  </si>
  <si>
    <t>　無回答</t>
    <rPh sb="1" eb="4">
      <t>ムカイトウ</t>
    </rPh>
    <phoneticPr fontId="13"/>
  </si>
  <si>
    <t>５７．９歳</t>
    <rPh sb="4" eb="5">
      <t>サイ</t>
    </rPh>
    <phoneticPr fontId="13"/>
  </si>
  <si>
    <t>９３歳</t>
    <rPh sb="2" eb="3">
      <t>サイ</t>
    </rPh>
    <phoneticPr fontId="13"/>
  </si>
  <si>
    <t>5,111人</t>
    <rPh sb="5" eb="6">
      <t>ニン</t>
    </rPh>
    <phoneticPr fontId="13"/>
  </si>
  <si>
    <t>2,890人</t>
    <rPh sb="5" eb="6">
      <t>ニン</t>
    </rPh>
    <phoneticPr fontId="13"/>
  </si>
  <si>
    <t>2,221人</t>
    <rPh sb="5" eb="6">
      <t>ニン</t>
    </rPh>
    <phoneticPr fontId="13"/>
  </si>
  <si>
    <t>　・調査参加者数：５，１１１名（性別、年齢不明者を除く）</t>
    <rPh sb="2" eb="4">
      <t>チョウサ</t>
    </rPh>
    <rPh sb="4" eb="7">
      <t>サンカシャ</t>
    </rPh>
    <rPh sb="7" eb="8">
      <t>スウ</t>
    </rPh>
    <rPh sb="14" eb="15">
      <t>メイ</t>
    </rPh>
    <rPh sb="16" eb="18">
      <t>セイベツ</t>
    </rPh>
    <rPh sb="19" eb="21">
      <t>ネンレイ</t>
    </rPh>
    <rPh sb="21" eb="24">
      <t>フメイシャ</t>
    </rPh>
    <rPh sb="25" eb="26">
      <t>ノゾ</t>
    </rPh>
    <phoneticPr fontId="13"/>
  </si>
  <si>
    <t>　・調査実施市町村数：３５市町村（１３振興局管内）</t>
    <rPh sb="2" eb="4">
      <t>チョウサ</t>
    </rPh>
    <rPh sb="4" eb="6">
      <t>ジッシ</t>
    </rPh>
    <rPh sb="6" eb="9">
      <t>シチョウソン</t>
    </rPh>
    <rPh sb="9" eb="10">
      <t>スウ</t>
    </rPh>
    <rPh sb="13" eb="16">
      <t>シチョウソン</t>
    </rPh>
    <rPh sb="19" eb="22">
      <t>シンコウキョク</t>
    </rPh>
    <rPh sb="22" eb="24">
      <t>カンナイ</t>
    </rPh>
    <phoneticPr fontId="13"/>
  </si>
  <si>
    <t>　・調査実施時期：平成２７年５月～平成２８年２月</t>
    <rPh sb="2" eb="4">
      <t>チョウサ</t>
    </rPh>
    <rPh sb="4" eb="6">
      <t>ジッシ</t>
    </rPh>
    <rPh sb="6" eb="8">
      <t>ジキ</t>
    </rPh>
    <rPh sb="9" eb="11">
      <t>ヘイセイ</t>
    </rPh>
    <rPh sb="13" eb="14">
      <t>ネン</t>
    </rPh>
    <rPh sb="15" eb="16">
      <t>ゲツ</t>
    </rPh>
    <rPh sb="17" eb="19">
      <t>ヘイセイ</t>
    </rPh>
    <rPh sb="21" eb="22">
      <t>ネン</t>
    </rPh>
    <rPh sb="23" eb="24">
      <t>ゲツ</t>
    </rPh>
    <phoneticPr fontId="13"/>
  </si>
  <si>
    <t>【平成２７年度　成人歯科保健に係る道民歯科保健実態調査　集計結果】</t>
    <rPh sb="1" eb="3">
      <t>ヘイセイ</t>
    </rPh>
    <rPh sb="5" eb="7">
      <t>ネンド</t>
    </rPh>
    <rPh sb="8" eb="10">
      <t>セイジン</t>
    </rPh>
    <rPh sb="10" eb="12">
      <t>シカ</t>
    </rPh>
    <rPh sb="12" eb="14">
      <t>ホケン</t>
    </rPh>
    <rPh sb="15" eb="16">
      <t>カカ</t>
    </rPh>
    <rPh sb="17" eb="19">
      <t>ドウミン</t>
    </rPh>
    <rPh sb="19" eb="21">
      <t>シカ</t>
    </rPh>
    <rPh sb="21" eb="23">
      <t>ホケン</t>
    </rPh>
    <rPh sb="23" eb="25">
      <t>ジッタイ</t>
    </rPh>
    <rPh sb="25" eb="27">
      <t>チョウサ</t>
    </rPh>
    <rPh sb="28" eb="30">
      <t>シュウケイ</t>
    </rPh>
    <rPh sb="30" eb="32">
      <t>ケッカ</t>
    </rPh>
    <phoneticPr fontId="13"/>
  </si>
  <si>
    <t>５３．３歳</t>
    <rPh sb="4" eb="5">
      <t>サイ</t>
    </rPh>
    <phoneticPr fontId="13"/>
  </si>
  <si>
    <t>2998人</t>
    <rPh sb="4" eb="5">
      <t>ニン</t>
    </rPh>
    <phoneticPr fontId="13"/>
  </si>
  <si>
    <t>1638人</t>
    <rPh sb="4" eb="5">
      <t>ニン</t>
    </rPh>
    <phoneticPr fontId="13"/>
  </si>
  <si>
    <t>1360人</t>
    <rPh sb="4" eb="5">
      <t>ニン</t>
    </rPh>
    <phoneticPr fontId="13"/>
  </si>
  <si>
    <t>　・調査参加者数：２９９８名（性別、年齢不明者を除く）</t>
    <rPh sb="2" eb="4">
      <t>チョウサ</t>
    </rPh>
    <rPh sb="4" eb="7">
      <t>サンカシャ</t>
    </rPh>
    <rPh sb="7" eb="8">
      <t>スウ</t>
    </rPh>
    <rPh sb="13" eb="14">
      <t>メイ</t>
    </rPh>
    <rPh sb="15" eb="17">
      <t>セイベツ</t>
    </rPh>
    <rPh sb="18" eb="20">
      <t>ネンレイ</t>
    </rPh>
    <rPh sb="20" eb="23">
      <t>フメイシャ</t>
    </rPh>
    <rPh sb="24" eb="25">
      <t>ノゾ</t>
    </rPh>
    <phoneticPr fontId="13"/>
  </si>
  <si>
    <t>　・調査実施市町村数：３０市町村（１４振興局管内）</t>
    <rPh sb="2" eb="4">
      <t>チョウサ</t>
    </rPh>
    <rPh sb="4" eb="6">
      <t>ジッシ</t>
    </rPh>
    <rPh sb="6" eb="9">
      <t>シチョウソン</t>
    </rPh>
    <rPh sb="9" eb="10">
      <t>スウ</t>
    </rPh>
    <rPh sb="13" eb="16">
      <t>シチョウソン</t>
    </rPh>
    <rPh sb="19" eb="22">
      <t>シンコウキョク</t>
    </rPh>
    <rPh sb="22" eb="24">
      <t>カンナイ</t>
    </rPh>
    <phoneticPr fontId="13"/>
  </si>
  <si>
    <t>　・調査実施時期：平成２６年７月～平成２７年３月</t>
    <rPh sb="2" eb="4">
      <t>チョウサ</t>
    </rPh>
    <rPh sb="4" eb="6">
      <t>ジッシ</t>
    </rPh>
    <rPh sb="6" eb="8">
      <t>ジキ</t>
    </rPh>
    <rPh sb="9" eb="11">
      <t>ヘイセイ</t>
    </rPh>
    <rPh sb="13" eb="14">
      <t>ネン</t>
    </rPh>
    <rPh sb="15" eb="16">
      <t>ゲツ</t>
    </rPh>
    <rPh sb="17" eb="19">
      <t>ヘイセイ</t>
    </rPh>
    <rPh sb="21" eb="22">
      <t>ネン</t>
    </rPh>
    <rPh sb="23" eb="24">
      <t>ゲツ</t>
    </rPh>
    <phoneticPr fontId="13"/>
  </si>
  <si>
    <t>【平成２６年度　成人歯科保健に係る道民歯科保健実態調査　集計結果】</t>
    <rPh sb="1" eb="3">
      <t>ヘイセイ</t>
    </rPh>
    <rPh sb="5" eb="7">
      <t>ネンド</t>
    </rPh>
    <rPh sb="8" eb="10">
      <t>セイジン</t>
    </rPh>
    <rPh sb="10" eb="12">
      <t>シカ</t>
    </rPh>
    <rPh sb="12" eb="14">
      <t>ホケン</t>
    </rPh>
    <rPh sb="15" eb="16">
      <t>カカ</t>
    </rPh>
    <rPh sb="17" eb="19">
      <t>ドウミン</t>
    </rPh>
    <rPh sb="19" eb="21">
      <t>シカ</t>
    </rPh>
    <rPh sb="21" eb="23">
      <t>ホケン</t>
    </rPh>
    <rPh sb="23" eb="25">
      <t>ジッタイ</t>
    </rPh>
    <rPh sb="25" eb="27">
      <t>チョウサ</t>
    </rPh>
    <rPh sb="28" eb="30">
      <t>シュウケイ</t>
    </rPh>
    <rPh sb="30" eb="32">
      <t>ケッカ</t>
    </rPh>
    <phoneticPr fontId="13"/>
  </si>
  <si>
    <t>・８０２０について</t>
    <phoneticPr fontId="13"/>
  </si>
  <si>
    <t>・６０２４について</t>
    <phoneticPr fontId="13"/>
  </si>
  <si>
    <t>２．いいえ</t>
    <phoneticPr fontId="13"/>
  </si>
  <si>
    <t>１．はい</t>
    <phoneticPr fontId="13"/>
  </si>
  <si>
    <t>５３．２歳</t>
    <rPh sb="4" eb="5">
      <t>サイ</t>
    </rPh>
    <phoneticPr fontId="13"/>
  </si>
  <si>
    <t>９４歳</t>
    <rPh sb="2" eb="3">
      <t>サイ</t>
    </rPh>
    <phoneticPr fontId="13"/>
  </si>
  <si>
    <t>2205人</t>
    <rPh sb="4" eb="5">
      <t>ニン</t>
    </rPh>
    <phoneticPr fontId="13"/>
  </si>
  <si>
    <t>1218人</t>
    <rPh sb="4" eb="5">
      <t>ニン</t>
    </rPh>
    <phoneticPr fontId="13"/>
  </si>
  <si>
    <t>987人</t>
    <rPh sb="3" eb="4">
      <t>ニン</t>
    </rPh>
    <phoneticPr fontId="13"/>
  </si>
  <si>
    <t>　・調査参加者数：２２０５名（性別、年齢不明者を除く）</t>
    <rPh sb="2" eb="4">
      <t>チョウサ</t>
    </rPh>
    <rPh sb="4" eb="7">
      <t>サンカシャ</t>
    </rPh>
    <rPh sb="7" eb="8">
      <t>スウ</t>
    </rPh>
    <rPh sb="13" eb="14">
      <t>メイ</t>
    </rPh>
    <rPh sb="15" eb="17">
      <t>セイベツ</t>
    </rPh>
    <rPh sb="18" eb="20">
      <t>ネンレイ</t>
    </rPh>
    <rPh sb="20" eb="23">
      <t>フメイシャ</t>
    </rPh>
    <rPh sb="24" eb="25">
      <t>ノゾ</t>
    </rPh>
    <phoneticPr fontId="13"/>
  </si>
  <si>
    <t>　</t>
    <phoneticPr fontId="13"/>
  </si>
  <si>
    <t>　・調査実施市町村数：２４市町村（１２振興局管内）</t>
    <rPh sb="2" eb="4">
      <t>チョウサ</t>
    </rPh>
    <rPh sb="4" eb="6">
      <t>ジッシ</t>
    </rPh>
    <rPh sb="6" eb="9">
      <t>シチョウソン</t>
    </rPh>
    <rPh sb="9" eb="10">
      <t>スウ</t>
    </rPh>
    <rPh sb="13" eb="16">
      <t>シチョウソン</t>
    </rPh>
    <rPh sb="19" eb="22">
      <t>シンコウキョク</t>
    </rPh>
    <rPh sb="22" eb="24">
      <t>カンナイ</t>
    </rPh>
    <phoneticPr fontId="13"/>
  </si>
  <si>
    <t>　・調査実施時期：平成２６年２月～３月</t>
    <rPh sb="2" eb="4">
      <t>チョウサ</t>
    </rPh>
    <rPh sb="4" eb="6">
      <t>ジッシ</t>
    </rPh>
    <rPh sb="6" eb="8">
      <t>ジキ</t>
    </rPh>
    <rPh sb="9" eb="11">
      <t>ヘイセイ</t>
    </rPh>
    <rPh sb="13" eb="14">
      <t>ネン</t>
    </rPh>
    <rPh sb="15" eb="16">
      <t>ゲツ</t>
    </rPh>
    <rPh sb="18" eb="19">
      <t>ゲツ</t>
    </rPh>
    <phoneticPr fontId="13"/>
  </si>
  <si>
    <t>【平成２５年度　成人歯科保健に係る道民歯科保健実態調査　集計結果】</t>
    <rPh sb="1" eb="3">
      <t>ヘイセイ</t>
    </rPh>
    <rPh sb="5" eb="7">
      <t>ネンド</t>
    </rPh>
    <rPh sb="8" eb="10">
      <t>セイジン</t>
    </rPh>
    <rPh sb="10" eb="12">
      <t>シカ</t>
    </rPh>
    <rPh sb="12" eb="14">
      <t>ホケン</t>
    </rPh>
    <rPh sb="15" eb="16">
      <t>カカ</t>
    </rPh>
    <rPh sb="17" eb="19">
      <t>ドウミン</t>
    </rPh>
    <rPh sb="19" eb="21">
      <t>シカ</t>
    </rPh>
    <rPh sb="21" eb="23">
      <t>ホケン</t>
    </rPh>
    <rPh sb="23" eb="25">
      <t>ジッタイ</t>
    </rPh>
    <rPh sb="25" eb="27">
      <t>チョウサ</t>
    </rPh>
    <rPh sb="28" eb="30">
      <t>シュウケイ</t>
    </rPh>
    <rPh sb="30" eb="32">
      <t>ケッカ</t>
    </rPh>
    <phoneticPr fontId="13"/>
  </si>
  <si>
    <t>【令和２年度（2020年度）成人歯科保健に係る道民歯科保健実態調査　集計結果】</t>
    <rPh sb="1" eb="3">
      <t>レイワ</t>
    </rPh>
    <rPh sb="4" eb="6">
      <t>ネンド</t>
    </rPh>
    <rPh sb="11" eb="13">
      <t>ネンド</t>
    </rPh>
    <rPh sb="14" eb="16">
      <t>セイジン</t>
    </rPh>
    <rPh sb="16" eb="18">
      <t>シカ</t>
    </rPh>
    <rPh sb="18" eb="20">
      <t>ホケン</t>
    </rPh>
    <rPh sb="21" eb="22">
      <t>カカ</t>
    </rPh>
    <rPh sb="23" eb="25">
      <t>ドウミン</t>
    </rPh>
    <rPh sb="25" eb="27">
      <t>シカ</t>
    </rPh>
    <rPh sb="27" eb="29">
      <t>ホケン</t>
    </rPh>
    <rPh sb="29" eb="31">
      <t>ジッタイ</t>
    </rPh>
    <rPh sb="31" eb="33">
      <t>チョウサ</t>
    </rPh>
    <rPh sb="34" eb="36">
      <t>シュウケイ</t>
    </rPh>
    <rPh sb="36" eb="38">
      <t>ケッカ</t>
    </rPh>
    <phoneticPr fontId="13"/>
  </si>
  <si>
    <t>　・調査実施時期：令和２年（2020年）５月～令和３年（2021年）３月</t>
    <rPh sb="2" eb="4">
      <t>チョウサ</t>
    </rPh>
    <rPh sb="4" eb="6">
      <t>ジッシ</t>
    </rPh>
    <rPh sb="6" eb="8">
      <t>ジキ</t>
    </rPh>
    <rPh sb="9" eb="11">
      <t>レイワ</t>
    </rPh>
    <rPh sb="12" eb="13">
      <t>ネン</t>
    </rPh>
    <rPh sb="18" eb="19">
      <t>ネン</t>
    </rPh>
    <rPh sb="21" eb="22">
      <t>ゲツ</t>
    </rPh>
    <rPh sb="23" eb="25">
      <t>レイワ</t>
    </rPh>
    <rPh sb="26" eb="27">
      <t>ネン</t>
    </rPh>
    <rPh sb="32" eb="33">
      <t>ネン</t>
    </rPh>
    <rPh sb="35" eb="36">
      <t>ゲツ</t>
    </rPh>
    <phoneticPr fontId="13"/>
  </si>
  <si>
    <t>　・調査実施市町村数：３３市町村（１３振興局管内）</t>
    <rPh sb="2" eb="4">
      <t>チョウサ</t>
    </rPh>
    <rPh sb="4" eb="6">
      <t>ジッシ</t>
    </rPh>
    <rPh sb="6" eb="9">
      <t>シチョウソン</t>
    </rPh>
    <rPh sb="9" eb="10">
      <t>スウ</t>
    </rPh>
    <rPh sb="13" eb="16">
      <t>シチョウソン</t>
    </rPh>
    <rPh sb="19" eb="22">
      <t>シンコウキョク</t>
    </rPh>
    <rPh sb="22" eb="24">
      <t>カンナイ</t>
    </rPh>
    <phoneticPr fontId="13"/>
  </si>
  <si>
    <t>９７歳</t>
    <rPh sb="2" eb="3">
      <t>サイ</t>
    </rPh>
    <phoneticPr fontId="13"/>
  </si>
  <si>
    <t>R2</t>
    <phoneticPr fontId="9"/>
  </si>
  <si>
    <t>　・調査参加者数：5,777人（性別、年齢不明者又は２０歳未満の者を除く）</t>
    <rPh sb="2" eb="4">
      <t>チョウサ</t>
    </rPh>
    <rPh sb="4" eb="7">
      <t>サンカシャ</t>
    </rPh>
    <rPh sb="7" eb="8">
      <t>スウ</t>
    </rPh>
    <rPh sb="14" eb="15">
      <t>ニン</t>
    </rPh>
    <rPh sb="16" eb="18">
      <t>セイベツ</t>
    </rPh>
    <rPh sb="19" eb="21">
      <t>ネンレイ</t>
    </rPh>
    <rPh sb="21" eb="24">
      <t>フメイシャ</t>
    </rPh>
    <rPh sb="24" eb="25">
      <t>マタ</t>
    </rPh>
    <rPh sb="28" eb="31">
      <t>サイミマン</t>
    </rPh>
    <rPh sb="32" eb="33">
      <t>モノ</t>
    </rPh>
    <rPh sb="34" eb="35">
      <t>ノゾ</t>
    </rPh>
    <phoneticPr fontId="13"/>
  </si>
  <si>
    <t>５３．７歳</t>
    <rPh sb="4" eb="5">
      <t>サイ</t>
    </rPh>
    <phoneticPr fontId="13"/>
  </si>
  <si>
    <t>（人）</t>
  </si>
  <si>
    <t>２０歳代</t>
  </si>
  <si>
    <t>３０歳代</t>
  </si>
  <si>
    <t>４０歳代</t>
  </si>
  <si>
    <t>５０歳代</t>
  </si>
  <si>
    <t>６０歳代</t>
  </si>
  <si>
    <t>７０歳代</t>
  </si>
  <si>
    <t>８０歳代</t>
  </si>
  <si>
    <t>９０歳以上</t>
  </si>
  <si>
    <t>合計</t>
  </si>
  <si>
    <t>不明・無回答</t>
  </si>
  <si>
    <t>【令和４年度（2022年度）成人歯科保健に係る道民歯科保健実態調査　集計結果】</t>
    <rPh sb="1" eb="3">
      <t>レイワ</t>
    </rPh>
    <rPh sb="4" eb="6">
      <t>ネンド</t>
    </rPh>
    <rPh sb="11" eb="13">
      <t>ネンド</t>
    </rPh>
    <rPh sb="14" eb="16">
      <t>セイジン</t>
    </rPh>
    <rPh sb="16" eb="18">
      <t>シカ</t>
    </rPh>
    <rPh sb="18" eb="20">
      <t>ホケン</t>
    </rPh>
    <rPh sb="21" eb="22">
      <t>カカ</t>
    </rPh>
    <rPh sb="23" eb="25">
      <t>ドウミン</t>
    </rPh>
    <rPh sb="25" eb="27">
      <t>シカ</t>
    </rPh>
    <rPh sb="27" eb="29">
      <t>ホケン</t>
    </rPh>
    <rPh sb="29" eb="31">
      <t>ジッタイ</t>
    </rPh>
    <rPh sb="31" eb="33">
      <t>チョウサ</t>
    </rPh>
    <rPh sb="34" eb="36">
      <t>シュウケイ</t>
    </rPh>
    <rPh sb="36" eb="38">
      <t>ケッカ</t>
    </rPh>
    <phoneticPr fontId="13"/>
  </si>
  <si>
    <t>　・調査実施時期：令和4年（2022年）4月～令和5年（2023年）3月</t>
    <rPh sb="2" eb="4">
      <t>チョウサ</t>
    </rPh>
    <rPh sb="4" eb="6">
      <t>ジッシ</t>
    </rPh>
    <rPh sb="6" eb="8">
      <t>ジキ</t>
    </rPh>
    <rPh sb="9" eb="11">
      <t>レイワ</t>
    </rPh>
    <rPh sb="12" eb="13">
      <t>ネン</t>
    </rPh>
    <rPh sb="18" eb="19">
      <t>ネン</t>
    </rPh>
    <rPh sb="21" eb="22">
      <t>ゲツ</t>
    </rPh>
    <rPh sb="23" eb="25">
      <t>レイワ</t>
    </rPh>
    <rPh sb="26" eb="27">
      <t>ネン</t>
    </rPh>
    <rPh sb="32" eb="33">
      <t>ネン</t>
    </rPh>
    <rPh sb="35" eb="36">
      <t>ゲツ</t>
    </rPh>
    <phoneticPr fontId="13"/>
  </si>
  <si>
    <t>　・調査実施市町村数：29市町村（15保健所管内）</t>
    <rPh sb="2" eb="4">
      <t>チョウサ</t>
    </rPh>
    <rPh sb="4" eb="6">
      <t>ジッシ</t>
    </rPh>
    <rPh sb="6" eb="9">
      <t>シチョウソン</t>
    </rPh>
    <rPh sb="9" eb="10">
      <t>スウ</t>
    </rPh>
    <rPh sb="13" eb="16">
      <t>シチョウソン</t>
    </rPh>
    <rPh sb="19" eb="22">
      <t>ホケンジョ</t>
    </rPh>
    <rPh sb="22" eb="24">
      <t>カンナイ</t>
    </rPh>
    <phoneticPr fontId="13"/>
  </si>
  <si>
    <t>　・調査参加者数：4,722人（性別、年齢不明者又は２０歳未満の者を除く）</t>
    <rPh sb="2" eb="4">
      <t>チョウサ</t>
    </rPh>
    <rPh sb="4" eb="7">
      <t>サンカシャ</t>
    </rPh>
    <rPh sb="7" eb="8">
      <t>スウ</t>
    </rPh>
    <rPh sb="14" eb="15">
      <t>ニン</t>
    </rPh>
    <rPh sb="16" eb="18">
      <t>セイベツ</t>
    </rPh>
    <rPh sb="19" eb="21">
      <t>ネンレイ</t>
    </rPh>
    <rPh sb="21" eb="24">
      <t>フメイシャ</t>
    </rPh>
    <rPh sb="24" eb="25">
      <t>マタ</t>
    </rPh>
    <rPh sb="28" eb="31">
      <t>サイミマン</t>
    </rPh>
    <rPh sb="32" eb="33">
      <t>モノ</t>
    </rPh>
    <rPh sb="34" eb="35">
      <t>ノゾ</t>
    </rPh>
    <phoneticPr fontId="13"/>
  </si>
  <si>
    <t>（参考）令和４年度から追加された設問について</t>
    <rPh sb="1" eb="3">
      <t>サンコウ</t>
    </rPh>
    <rPh sb="4" eb="6">
      <t>レイワ</t>
    </rPh>
    <rPh sb="7" eb="9">
      <t>ネンド</t>
    </rPh>
    <rPh sb="11" eb="13">
      <t>ツイカ</t>
    </rPh>
    <rPh sb="16" eb="18">
      <t>セツモン</t>
    </rPh>
    <phoneticPr fontId="13"/>
  </si>
  <si>
    <t>●問10 ア：あなたの食べ方や食事中の様子についておたずねします。「ゆっくりよくかんで食事をする」</t>
    <rPh sb="43" eb="45">
      <t>ショクジ</t>
    </rPh>
    <phoneticPr fontId="13"/>
  </si>
  <si>
    <t>●問10 イ：あなたの食べ方や食事中の様子についておたずねします。「半年前に比べて固いものがたべにくくなった」</t>
    <phoneticPr fontId="13"/>
  </si>
  <si>
    <t>●問10 ウ：あなたの食べ方や食事中の様子についておたずねします。「お茶や汁物等でむせることがある　」</t>
    <phoneticPr fontId="13"/>
  </si>
  <si>
    <t>●問10 エ：あなたの食べ方や食事中の様子についておたずねします。「口の渇きが気になる」</t>
    <phoneticPr fontId="13"/>
  </si>
  <si>
    <t>●問10 オ：あなたの食べ方や食事中の様子についておたずねします。「左右両方の奥歯でしっかりかみしめられる」</t>
    <phoneticPr fontId="13"/>
  </si>
  <si>
    <t>　問10以降については調査実施時期により調査票への掲載有無が異なる設問であるため、参考値として掲載</t>
    <rPh sb="1" eb="2">
      <t>トイ</t>
    </rPh>
    <rPh sb="4" eb="6">
      <t>イコウ</t>
    </rPh>
    <rPh sb="11" eb="13">
      <t>チョウサ</t>
    </rPh>
    <rPh sb="13" eb="15">
      <t>ジッシ</t>
    </rPh>
    <rPh sb="15" eb="17">
      <t>ジキ</t>
    </rPh>
    <rPh sb="20" eb="22">
      <t>チョウサ</t>
    </rPh>
    <rPh sb="22" eb="23">
      <t>ヒョウ</t>
    </rPh>
    <rPh sb="25" eb="27">
      <t>ケイサイ</t>
    </rPh>
    <rPh sb="27" eb="29">
      <t>ウム</t>
    </rPh>
    <rPh sb="30" eb="31">
      <t>コト</t>
    </rPh>
    <rPh sb="33" eb="35">
      <t>セツモン</t>
    </rPh>
    <rPh sb="41" eb="44">
      <t>サンコウチ</t>
    </rPh>
    <rPh sb="47" eb="49">
      <t>ケイサイ</t>
    </rPh>
    <phoneticPr fontId="2"/>
  </si>
  <si>
    <t>　・調査参加者数：3,213人（性別、年齢不明者又は２０歳未満の者を除く）</t>
    <rPh sb="2" eb="4">
      <t>チョウサ</t>
    </rPh>
    <rPh sb="4" eb="7">
      <t>サンカシャ</t>
    </rPh>
    <rPh sb="7" eb="8">
      <t>スウ</t>
    </rPh>
    <rPh sb="14" eb="15">
      <t>ニン</t>
    </rPh>
    <rPh sb="16" eb="18">
      <t>セイベツ</t>
    </rPh>
    <rPh sb="19" eb="21">
      <t>ネンレイ</t>
    </rPh>
    <rPh sb="21" eb="24">
      <t>フメイシャ</t>
    </rPh>
    <rPh sb="24" eb="25">
      <t>マタ</t>
    </rPh>
    <rPh sb="28" eb="31">
      <t>サイミマン</t>
    </rPh>
    <rPh sb="32" eb="33">
      <t>モノ</t>
    </rPh>
    <rPh sb="34" eb="35">
      <t>ノゾ</t>
    </rPh>
    <phoneticPr fontId="13"/>
  </si>
  <si>
    <t>【令和５年度（2023年度）成人歯科保健に係る道民歯科保健実態調査　集計結果】</t>
    <rPh sb="1" eb="3">
      <t>レイワ</t>
    </rPh>
    <rPh sb="4" eb="6">
      <t>ネンド</t>
    </rPh>
    <rPh sb="11" eb="13">
      <t>ネンド</t>
    </rPh>
    <rPh sb="14" eb="16">
      <t>セイジン</t>
    </rPh>
    <rPh sb="16" eb="18">
      <t>シカ</t>
    </rPh>
    <rPh sb="18" eb="20">
      <t>ホケン</t>
    </rPh>
    <rPh sb="21" eb="22">
      <t>カカ</t>
    </rPh>
    <rPh sb="23" eb="25">
      <t>ドウミン</t>
    </rPh>
    <rPh sb="25" eb="27">
      <t>シカ</t>
    </rPh>
    <rPh sb="27" eb="29">
      <t>ホケン</t>
    </rPh>
    <rPh sb="29" eb="31">
      <t>ジッタイ</t>
    </rPh>
    <rPh sb="31" eb="33">
      <t>チョウサ</t>
    </rPh>
    <rPh sb="34" eb="36">
      <t>シュウケイ</t>
    </rPh>
    <rPh sb="36" eb="38">
      <t>ケッカ</t>
    </rPh>
    <phoneticPr fontId="13"/>
  </si>
  <si>
    <t>　・調査実施時期：令和５年（2023年）５月～令和６年（2024年）３月</t>
    <rPh sb="2" eb="4">
      <t>チョウサ</t>
    </rPh>
    <rPh sb="4" eb="6">
      <t>ジッシ</t>
    </rPh>
    <rPh sb="6" eb="8">
      <t>ジキ</t>
    </rPh>
    <rPh sb="9" eb="11">
      <t>レイワ</t>
    </rPh>
    <rPh sb="12" eb="13">
      <t>ネン</t>
    </rPh>
    <rPh sb="18" eb="19">
      <t>ネン</t>
    </rPh>
    <rPh sb="21" eb="22">
      <t>ゲツ</t>
    </rPh>
    <rPh sb="23" eb="25">
      <t>レイワ</t>
    </rPh>
    <rPh sb="26" eb="27">
      <t>ネン</t>
    </rPh>
    <rPh sb="32" eb="33">
      <t>ネン</t>
    </rPh>
    <rPh sb="35" eb="36">
      <t>ゲツ</t>
    </rPh>
    <phoneticPr fontId="13"/>
  </si>
  <si>
    <t>　・調査実施市町村数：52市町村（16保健所管内）</t>
    <rPh sb="2" eb="4">
      <t>チョウサ</t>
    </rPh>
    <rPh sb="4" eb="6">
      <t>ジッシ</t>
    </rPh>
    <rPh sb="6" eb="9">
      <t>シチョウソン</t>
    </rPh>
    <rPh sb="9" eb="10">
      <t>スウ</t>
    </rPh>
    <rPh sb="13" eb="16">
      <t>シチョウソン</t>
    </rPh>
    <rPh sb="19" eb="22">
      <t>ホケンショ</t>
    </rPh>
    <rPh sb="22" eb="24">
      <t>カンナイ</t>
    </rPh>
    <phoneticPr fontId="13"/>
  </si>
  <si>
    <t>　・調査参加者数：7,022人（年齢不明者又は１８歳未満の者を除く）</t>
    <rPh sb="2" eb="4">
      <t>チョウサ</t>
    </rPh>
    <rPh sb="4" eb="7">
      <t>サンカシャ</t>
    </rPh>
    <rPh sb="7" eb="8">
      <t>スウ</t>
    </rPh>
    <rPh sb="14" eb="15">
      <t>ニン</t>
    </rPh>
    <rPh sb="16" eb="18">
      <t>ネンレイ</t>
    </rPh>
    <rPh sb="18" eb="21">
      <t>フメイシャ</t>
    </rPh>
    <rPh sb="21" eb="22">
      <t>マタ</t>
    </rPh>
    <rPh sb="25" eb="28">
      <t>サイミマン</t>
    </rPh>
    <rPh sb="29" eb="30">
      <t>モノ</t>
    </rPh>
    <rPh sb="31" eb="32">
      <t>ノゾ</t>
    </rPh>
    <phoneticPr fontId="13"/>
  </si>
  <si>
    <t>１０歳代</t>
    <rPh sb="2" eb="3">
      <t>サイ</t>
    </rPh>
    <rPh sb="3" eb="4">
      <t>ダイ</t>
    </rPh>
    <phoneticPr fontId="13"/>
  </si>
  <si>
    <t>不明・無回答：</t>
    <rPh sb="0" eb="2">
      <t>フメイ</t>
    </rPh>
    <rPh sb="3" eb="6">
      <t>ムカイトウ</t>
    </rPh>
    <phoneticPr fontId="13"/>
  </si>
  <si>
    <t>●問10 ア：（食べ方・食事中の様子）ゆっくりよくかんで食事をする。</t>
    <rPh sb="1" eb="2">
      <t>トイ</t>
    </rPh>
    <rPh sb="8" eb="9">
      <t>タ</t>
    </rPh>
    <rPh sb="10" eb="11">
      <t>カタ</t>
    </rPh>
    <rPh sb="12" eb="14">
      <t>ショクジ</t>
    </rPh>
    <rPh sb="14" eb="15">
      <t>チュウ</t>
    </rPh>
    <rPh sb="16" eb="18">
      <t>ヨウス</t>
    </rPh>
    <rPh sb="28" eb="30">
      <t>ショクジ</t>
    </rPh>
    <phoneticPr fontId="13"/>
  </si>
  <si>
    <t>●問10 イ：（食べ方・食事中の様子）半年前に比べて固いものがたべにくくなった。</t>
    <rPh sb="1" eb="2">
      <t>トイ</t>
    </rPh>
    <rPh sb="8" eb="9">
      <t>タ</t>
    </rPh>
    <rPh sb="10" eb="11">
      <t>カタ</t>
    </rPh>
    <rPh sb="12" eb="14">
      <t>ショクジ</t>
    </rPh>
    <rPh sb="14" eb="15">
      <t>チュウ</t>
    </rPh>
    <rPh sb="16" eb="18">
      <t>ヨウス</t>
    </rPh>
    <phoneticPr fontId="13"/>
  </si>
  <si>
    <t>●問10 ウ：（食べ方・食事中の様子）お茶や汁物等でむせることがある。</t>
    <rPh sb="1" eb="2">
      <t>トイ</t>
    </rPh>
    <rPh sb="8" eb="9">
      <t>タ</t>
    </rPh>
    <rPh sb="10" eb="11">
      <t>カタ</t>
    </rPh>
    <rPh sb="12" eb="14">
      <t>ショクジ</t>
    </rPh>
    <rPh sb="14" eb="15">
      <t>チュウ</t>
    </rPh>
    <rPh sb="16" eb="18">
      <t>ヨウス</t>
    </rPh>
    <phoneticPr fontId="13"/>
  </si>
  <si>
    <t>●問10 エ：（食べ方・食事中の様子）口の渇きが気になる。</t>
    <rPh sb="1" eb="2">
      <t>トイ</t>
    </rPh>
    <rPh sb="8" eb="9">
      <t>タ</t>
    </rPh>
    <rPh sb="10" eb="11">
      <t>カタ</t>
    </rPh>
    <rPh sb="12" eb="14">
      <t>ショクジ</t>
    </rPh>
    <rPh sb="14" eb="15">
      <t>チュウ</t>
    </rPh>
    <rPh sb="16" eb="18">
      <t>ヨウス</t>
    </rPh>
    <phoneticPr fontId="13"/>
  </si>
  <si>
    <t>●問10 オ：（食べ方・食事中の様子）左右両方の奥歯でしっかりかみしめられる。</t>
    <rPh sb="1" eb="2">
      <t>トイ</t>
    </rPh>
    <rPh sb="8" eb="9">
      <t>タ</t>
    </rPh>
    <rPh sb="10" eb="11">
      <t>カタ</t>
    </rPh>
    <rPh sb="12" eb="14">
      <t>ショクジ</t>
    </rPh>
    <rPh sb="14" eb="15">
      <t>チュウ</t>
    </rPh>
    <rPh sb="16" eb="18">
      <t>ヨウス</t>
    </rPh>
    <phoneticPr fontId="13"/>
  </si>
  <si>
    <t>成人歯科保健に係る道民歯科保健実態調査集計結果　H25～R5推移（H28は道民歯科保健実態調査、Ｒ3は一部HCのみの実施）</t>
    <rPh sb="0" eb="2">
      <t>セイジン</t>
    </rPh>
    <rPh sb="2" eb="4">
      <t>シカ</t>
    </rPh>
    <rPh sb="4" eb="6">
      <t>ホケン</t>
    </rPh>
    <rPh sb="7" eb="8">
      <t>カカ</t>
    </rPh>
    <rPh sb="9" eb="11">
      <t>ドウミン</t>
    </rPh>
    <rPh sb="11" eb="13">
      <t>シカ</t>
    </rPh>
    <rPh sb="13" eb="15">
      <t>ホケン</t>
    </rPh>
    <rPh sb="15" eb="17">
      <t>ジッタイ</t>
    </rPh>
    <rPh sb="17" eb="19">
      <t>チョウサ</t>
    </rPh>
    <rPh sb="19" eb="21">
      <t>シュウケイ</t>
    </rPh>
    <rPh sb="21" eb="23">
      <t>ケッカ</t>
    </rPh>
    <rPh sb="30" eb="32">
      <t>スイイ</t>
    </rPh>
    <rPh sb="51" eb="53">
      <t>イチブ</t>
    </rPh>
    <rPh sb="58" eb="60">
      <t>ジッシ</t>
    </rPh>
    <phoneticPr fontId="9"/>
  </si>
  <si>
    <t>R3
（参考値）</t>
    <rPh sb="4" eb="7">
      <t>サンコウチ</t>
    </rPh>
    <phoneticPr fontId="9"/>
  </si>
  <si>
    <t>R4
下段道民調査</t>
    <rPh sb="3" eb="4">
      <t>シタ</t>
    </rPh>
    <rPh sb="4" eb="5">
      <t>ダン</t>
    </rPh>
    <rPh sb="5" eb="7">
      <t>ドウミン</t>
    </rPh>
    <rPh sb="7" eb="9">
      <t>チョウサ</t>
    </rPh>
    <phoneticPr fontId="9"/>
  </si>
  <si>
    <t>R5</t>
    <phoneticPr fontId="9"/>
  </si>
  <si>
    <t>67.6
(66.4)</t>
    <phoneticPr fontId="9"/>
  </si>
  <si>
    <t>65.4
(69.3)</t>
    <phoneticPr fontId="9"/>
  </si>
  <si>
    <t>定期的に（１年間に１回以上）歯科健康診査を受診している者：成人*1（％）</t>
    <rPh sb="0" eb="3">
      <t>テイキテキ</t>
    </rPh>
    <rPh sb="6" eb="8">
      <t>ネンカン</t>
    </rPh>
    <rPh sb="10" eb="13">
      <t>カイイジョウ</t>
    </rPh>
    <rPh sb="14" eb="16">
      <t>シカ</t>
    </rPh>
    <rPh sb="16" eb="18">
      <t>ケンコウ</t>
    </rPh>
    <rPh sb="18" eb="20">
      <t>シンサ</t>
    </rPh>
    <rPh sb="21" eb="23">
      <t>ジュシン</t>
    </rPh>
    <rPh sb="27" eb="28">
      <t>モノ</t>
    </rPh>
    <rPh sb="29" eb="31">
      <t>セイジン</t>
    </rPh>
    <phoneticPr fontId="9"/>
  </si>
  <si>
    <t>33.2
(41.0)</t>
    <phoneticPr fontId="9"/>
  </si>
  <si>
    <t>歯肉に炎症所見を有する者：20歳代（％）*2</t>
    <rPh sb="0" eb="2">
      <t>シニク</t>
    </rPh>
    <rPh sb="3" eb="5">
      <t>エンショウ</t>
    </rPh>
    <rPh sb="5" eb="7">
      <t>ショケン</t>
    </rPh>
    <rPh sb="8" eb="9">
      <t>ユウ</t>
    </rPh>
    <rPh sb="11" eb="12">
      <t>モノ</t>
    </rPh>
    <rPh sb="15" eb="16">
      <t>サイ</t>
    </rPh>
    <rPh sb="16" eb="17">
      <t>ダイ</t>
    </rPh>
    <phoneticPr fontId="9"/>
  </si>
  <si>
    <t>27.6
(21.1)</t>
    <phoneticPr fontId="9"/>
  </si>
  <si>
    <t>咀嚼良好者：60歳代（％）*3</t>
    <rPh sb="0" eb="2">
      <t>ソシャク</t>
    </rPh>
    <rPh sb="2" eb="4">
      <t>リョウコウ</t>
    </rPh>
    <rPh sb="4" eb="5">
      <t>シャ</t>
    </rPh>
    <rPh sb="8" eb="9">
      <t>サイ</t>
    </rPh>
    <rPh sb="9" eb="10">
      <t>ダイ</t>
    </rPh>
    <phoneticPr fontId="9"/>
  </si>
  <si>
    <t>66.7
(70.3)</t>
    <phoneticPr fontId="9"/>
  </si>
  <si>
    <t>63.8
(66.8)</t>
    <phoneticPr fontId="9"/>
  </si>
  <si>
    <t>44.9
(46.5)</t>
    <phoneticPr fontId="9"/>
  </si>
  <si>
    <t>「8020（ハチマルニイマル）運動」：聞いたことはある（％）*4</t>
    <rPh sb="15" eb="17">
      <t>ウンドウ</t>
    </rPh>
    <rPh sb="19" eb="20">
      <t>キ</t>
    </rPh>
    <phoneticPr fontId="9"/>
  </si>
  <si>
    <t>「8020（ハチマルニイマル）運動」：内容を知っている（％）*4</t>
    <rPh sb="15" eb="17">
      <t>ウンドウ</t>
    </rPh>
    <rPh sb="19" eb="21">
      <t>ナイヨウ</t>
    </rPh>
    <rPh sb="22" eb="23">
      <t>シ</t>
    </rPh>
    <phoneticPr fontId="9"/>
  </si>
  <si>
    <t>「北海道歯・口腔の健康づくり8020推進週間」：聞いたことはある（％）*4</t>
    <rPh sb="1" eb="4">
      <t>ホッカイドウ</t>
    </rPh>
    <rPh sb="4" eb="5">
      <t>ハ</t>
    </rPh>
    <rPh sb="6" eb="8">
      <t>コウクウ</t>
    </rPh>
    <rPh sb="9" eb="11">
      <t>ケンコウ</t>
    </rPh>
    <rPh sb="18" eb="20">
      <t>スイシン</t>
    </rPh>
    <rPh sb="20" eb="22">
      <t>シュウカン</t>
    </rPh>
    <rPh sb="24" eb="25">
      <t>キ</t>
    </rPh>
    <phoneticPr fontId="9"/>
  </si>
  <si>
    <t>「北海道歯・口腔の健康づくり8020推進週間」：内容を知っている（％）*4</t>
    <rPh sb="1" eb="4">
      <t>ホッカイドウ</t>
    </rPh>
    <rPh sb="4" eb="5">
      <t>ハ</t>
    </rPh>
    <rPh sb="6" eb="8">
      <t>コウクウ</t>
    </rPh>
    <rPh sb="9" eb="11">
      <t>ケンコウ</t>
    </rPh>
    <rPh sb="18" eb="20">
      <t>スイシン</t>
    </rPh>
    <rPh sb="20" eb="22">
      <t>シュウカン</t>
    </rPh>
    <rPh sb="24" eb="26">
      <t>ナイヨウ</t>
    </rPh>
    <rPh sb="27" eb="28">
      <t>シ</t>
    </rPh>
    <phoneticPr fontId="9"/>
  </si>
  <si>
    <t>「オーラルフレイル」：聞いたことはある（％）*4</t>
    <rPh sb="11" eb="12">
      <t>キ</t>
    </rPh>
    <phoneticPr fontId="9"/>
  </si>
  <si>
    <t>「オーラルフレイル」：内容を知っている（％）*4</t>
    <rPh sb="11" eb="13">
      <t>ナイヨウ</t>
    </rPh>
    <rPh sb="14" eb="15">
      <t>シ</t>
    </rPh>
    <phoneticPr fontId="9"/>
  </si>
  <si>
    <t>ゆっくりよくかんで食事をする：はい（％）*5</t>
    <rPh sb="9" eb="11">
      <t>ショクジ</t>
    </rPh>
    <phoneticPr fontId="9"/>
  </si>
  <si>
    <t>半年前に比べて固いものが食べにくくなった：はい（％）*5</t>
    <rPh sb="0" eb="3">
      <t>ハントシマエ</t>
    </rPh>
    <rPh sb="4" eb="5">
      <t>クラ</t>
    </rPh>
    <rPh sb="7" eb="8">
      <t>カタ</t>
    </rPh>
    <rPh sb="12" eb="13">
      <t>タ</t>
    </rPh>
    <phoneticPr fontId="9"/>
  </si>
  <si>
    <t>お茶や汁物等でむせることがある：はい（％）*5</t>
    <rPh sb="1" eb="2">
      <t>チャ</t>
    </rPh>
    <rPh sb="3" eb="5">
      <t>シルモノ</t>
    </rPh>
    <rPh sb="5" eb="6">
      <t>トウ</t>
    </rPh>
    <phoneticPr fontId="9"/>
  </si>
  <si>
    <t>口の渇きが気になる：はい（％）*5</t>
    <rPh sb="0" eb="1">
      <t>クチ</t>
    </rPh>
    <rPh sb="2" eb="3">
      <t>カワ</t>
    </rPh>
    <rPh sb="5" eb="6">
      <t>キ</t>
    </rPh>
    <phoneticPr fontId="9"/>
  </si>
  <si>
    <t>左右両方の奥歯でしっかりかみしめられる：はい（％）*5</t>
    <rPh sb="0" eb="2">
      <t>サユウ</t>
    </rPh>
    <rPh sb="2" eb="4">
      <t>リョウホウ</t>
    </rPh>
    <rPh sb="5" eb="7">
      <t>オクバ</t>
    </rPh>
    <phoneticPr fontId="9"/>
  </si>
  <si>
    <t>*1　R4までは20歳以上、R5からは18歳以上</t>
    <rPh sb="10" eb="11">
      <t>サイ</t>
    </rPh>
    <rPh sb="11" eb="13">
      <t>イジョウ</t>
    </rPh>
    <rPh sb="21" eb="22">
      <t>サイ</t>
    </rPh>
    <rPh sb="22" eb="24">
      <t>イジョウ</t>
    </rPh>
    <phoneticPr fontId="9"/>
  </si>
  <si>
    <t>*2　H28道民歯科保健実態調査の結果を受けて、H30～集計</t>
    <rPh sb="6" eb="8">
      <t>ドウミン</t>
    </rPh>
    <rPh sb="8" eb="10">
      <t>シカ</t>
    </rPh>
    <rPh sb="10" eb="12">
      <t>ホケン</t>
    </rPh>
    <rPh sb="12" eb="14">
      <t>ジッタイ</t>
    </rPh>
    <rPh sb="14" eb="16">
      <t>チョウサ</t>
    </rPh>
    <rPh sb="17" eb="19">
      <t>ケッカ</t>
    </rPh>
    <rPh sb="20" eb="21">
      <t>ウ</t>
    </rPh>
    <rPh sb="28" eb="30">
      <t>シュウケイ</t>
    </rPh>
    <phoneticPr fontId="9"/>
  </si>
  <si>
    <t>*3　H25～H27,H29は
　　【あなたのふだんの食べる時の状況についておたずねします。　・何でもかんで食べることができる】に対して
　　「１　はい」「２　いいえ」の中から「１　はい」を選択した者</t>
    <rPh sb="27" eb="28">
      <t>タ</t>
    </rPh>
    <rPh sb="30" eb="31">
      <t>トキ</t>
    </rPh>
    <rPh sb="32" eb="34">
      <t>ジョウキョウ</t>
    </rPh>
    <rPh sb="48" eb="49">
      <t>ナン</t>
    </rPh>
    <rPh sb="54" eb="55">
      <t>タ</t>
    </rPh>
    <rPh sb="65" eb="66">
      <t>タイ</t>
    </rPh>
    <rPh sb="85" eb="86">
      <t>ナカ</t>
    </rPh>
    <rPh sb="95" eb="97">
      <t>センタク</t>
    </rPh>
    <rPh sb="99" eb="100">
      <t>モノ</t>
    </rPh>
    <phoneticPr fontId="9"/>
  </si>
  <si>
    <t>*4　H31～質問に追加</t>
    <rPh sb="7" eb="9">
      <t>シツモン</t>
    </rPh>
    <rPh sb="10" eb="12">
      <t>ツイカ</t>
    </rPh>
    <phoneticPr fontId="9"/>
  </si>
  <si>
    <t>*5　R5～質問に追加</t>
    <rPh sb="6" eb="8">
      <t>シツモン</t>
    </rPh>
    <rPh sb="9" eb="11">
      <t>ツイカ</t>
    </rPh>
    <phoneticPr fontId="9"/>
  </si>
  <si>
    <t>【令和６年度（2024年度）成人歯科保健に係る道民歯科保健実態調査　集計結果】</t>
    <rPh sb="1" eb="3">
      <t>レイワ</t>
    </rPh>
    <rPh sb="4" eb="6">
      <t>ネンド</t>
    </rPh>
    <rPh sb="11" eb="13">
      <t>ネンド</t>
    </rPh>
    <rPh sb="14" eb="16">
      <t>セイジン</t>
    </rPh>
    <rPh sb="16" eb="18">
      <t>シカ</t>
    </rPh>
    <rPh sb="18" eb="20">
      <t>ホケン</t>
    </rPh>
    <rPh sb="21" eb="22">
      <t>カカ</t>
    </rPh>
    <rPh sb="23" eb="25">
      <t>ドウミン</t>
    </rPh>
    <rPh sb="25" eb="27">
      <t>シカ</t>
    </rPh>
    <rPh sb="27" eb="29">
      <t>ホケン</t>
    </rPh>
    <rPh sb="29" eb="31">
      <t>ジッタイ</t>
    </rPh>
    <rPh sb="31" eb="33">
      <t>チョウサ</t>
    </rPh>
    <rPh sb="34" eb="36">
      <t>シュウケイ</t>
    </rPh>
    <rPh sb="36" eb="38">
      <t>ケッカ</t>
    </rPh>
    <phoneticPr fontId="13"/>
  </si>
  <si>
    <t>　　　４０歳代で使用する人：80.0%以上</t>
    <rPh sb="5" eb="6">
      <t>サイ</t>
    </rPh>
    <rPh sb="6" eb="7">
      <t>ダイ</t>
    </rPh>
    <rPh sb="8" eb="10">
      <t>シヨウ</t>
    </rPh>
    <rPh sb="12" eb="13">
      <t>ヒト</t>
    </rPh>
    <rPh sb="19" eb="21">
      <t>イジョウ</t>
    </rPh>
    <phoneticPr fontId="13"/>
  </si>
  <si>
    <t>　　　５０歳代で使用する人：85.0%以上</t>
    <rPh sb="5" eb="6">
      <t>サイ</t>
    </rPh>
    <rPh sb="6" eb="7">
      <t>ダイ</t>
    </rPh>
    <rPh sb="8" eb="10">
      <t>シヨウ</t>
    </rPh>
    <rPh sb="12" eb="13">
      <t>ヒト</t>
    </rPh>
    <rPh sb="19" eb="21">
      <t>イジョウ</t>
    </rPh>
    <phoneticPr fontId="13"/>
  </si>
  <si>
    <t>（基準値66.4％：R4）</t>
    <rPh sb="1" eb="4">
      <t>キジュンチ</t>
    </rPh>
    <phoneticPr fontId="13"/>
  </si>
  <si>
    <t>（基準値69.3％：R4）</t>
    <rPh sb="1" eb="4">
      <t>キジュンチ</t>
    </rPh>
    <phoneticPr fontId="13"/>
  </si>
  <si>
    <t>　　　過去１年間に歯科健診を受診：70.0%以上</t>
    <rPh sb="3" eb="5">
      <t>カコ</t>
    </rPh>
    <rPh sb="6" eb="8">
      <t>ネンカン</t>
    </rPh>
    <rPh sb="9" eb="11">
      <t>シカ</t>
    </rPh>
    <rPh sb="11" eb="13">
      <t>ケンシン</t>
    </rPh>
    <rPh sb="14" eb="16">
      <t>ジュシン</t>
    </rPh>
    <rPh sb="22" eb="24">
      <t>イジョウ</t>
    </rPh>
    <phoneticPr fontId="13"/>
  </si>
  <si>
    <t>（基準値41.0％：R4）</t>
    <rPh sb="1" eb="4">
      <t>キジュンチ</t>
    </rPh>
    <phoneticPr fontId="13"/>
  </si>
  <si>
    <t>●問5 ア：歯ぐきの病気にかかっているかもしれないと思いますか。</t>
    <phoneticPr fontId="9"/>
  </si>
  <si>
    <t>１．いつも</t>
  </si>
  <si>
    <t>２．しばしば</t>
  </si>
  <si>
    <t>４．ほとんどない</t>
  </si>
  <si>
    <t>５．まったくない</t>
  </si>
  <si>
    <t>●問６ ア：（歯や歯ぐきの状態について）歯をみがくと血がでますか。</t>
    <rPh sb="1" eb="2">
      <t>トイ</t>
    </rPh>
    <rPh sb="7" eb="8">
      <t>ハ</t>
    </rPh>
    <rPh sb="9" eb="10">
      <t>ハ</t>
    </rPh>
    <rPh sb="13" eb="15">
      <t>ジョウタイ</t>
    </rPh>
    <rPh sb="20" eb="21">
      <t>ハ</t>
    </rPh>
    <rPh sb="26" eb="27">
      <t>チ</t>
    </rPh>
    <phoneticPr fontId="13"/>
  </si>
  <si>
    <t>●問６ イ：（歯や歯ぐきの状態について）歯ぐきが腫れてブヨブヨしますか。</t>
    <rPh sb="1" eb="2">
      <t>トイ</t>
    </rPh>
    <rPh sb="7" eb="8">
      <t>ハ</t>
    </rPh>
    <rPh sb="9" eb="10">
      <t>ハ</t>
    </rPh>
    <rPh sb="13" eb="15">
      <t>ジョウタイ</t>
    </rPh>
    <rPh sb="20" eb="21">
      <t>ハ</t>
    </rPh>
    <rPh sb="24" eb="25">
      <t>ハ</t>
    </rPh>
    <phoneticPr fontId="13"/>
  </si>
  <si>
    <t>　　　２０～3０歳代における歯肉に炎症所見を有する人（※）の割合：15.0%以下</t>
    <rPh sb="8" eb="10">
      <t>サイダイ</t>
    </rPh>
    <rPh sb="14" eb="16">
      <t>シニク</t>
    </rPh>
    <rPh sb="17" eb="19">
      <t>エンショウ</t>
    </rPh>
    <rPh sb="19" eb="21">
      <t>ショケン</t>
    </rPh>
    <rPh sb="22" eb="23">
      <t>ユウ</t>
    </rPh>
    <rPh sb="25" eb="26">
      <t>ヒト</t>
    </rPh>
    <rPh sb="30" eb="32">
      <t>ワリアイ</t>
    </rPh>
    <rPh sb="38" eb="40">
      <t>イカ</t>
    </rPh>
    <phoneticPr fontId="13"/>
  </si>
  <si>
    <t>（基準値20.3％：R４）</t>
    <rPh sb="1" eb="4">
      <t>キジュンチ</t>
    </rPh>
    <phoneticPr fontId="13"/>
  </si>
  <si>
    <t>※問６ア・イのいずれか一方、又は両方に「１．はい」と回答した人</t>
    <rPh sb="1" eb="2">
      <t>トイ</t>
    </rPh>
    <rPh sb="11" eb="13">
      <t>イッポウ</t>
    </rPh>
    <rPh sb="14" eb="15">
      <t>マタ</t>
    </rPh>
    <rPh sb="16" eb="18">
      <t>リョウホウ</t>
    </rPh>
    <rPh sb="26" eb="28">
      <t>カイトウ</t>
    </rPh>
    <rPh sb="30" eb="31">
      <t>ヒト</t>
    </rPh>
    <phoneticPr fontId="13"/>
  </si>
  <si>
    <t>・２０～3０歳代における歯肉に炎症所見を有する人の割合</t>
    <rPh sb="25" eb="27">
      <t>ワリアイ</t>
    </rPh>
    <phoneticPr fontId="13"/>
  </si>
  <si>
    <t>（基準値70.3％：R4）</t>
    <rPh sb="1" eb="4">
      <t>キジュンチ</t>
    </rPh>
    <phoneticPr fontId="13"/>
  </si>
  <si>
    <t>●問８：（残存歯数）自分の歯は何本ありますか。</t>
    <rPh sb="1" eb="2">
      <t>トイ</t>
    </rPh>
    <rPh sb="5" eb="7">
      <t>ザンゾン</t>
    </rPh>
    <rPh sb="7" eb="8">
      <t>ハ</t>
    </rPh>
    <rPh sb="8" eb="9">
      <t>スウ</t>
    </rPh>
    <rPh sb="10" eb="12">
      <t>ジブン</t>
    </rPh>
    <rPh sb="13" eb="14">
      <t>ハ</t>
    </rPh>
    <rPh sb="15" eb="16">
      <t>ナン</t>
    </rPh>
    <rPh sb="16" eb="17">
      <t>ホン</t>
    </rPh>
    <phoneticPr fontId="13"/>
  </si>
  <si>
    <t>　　　６０２４（５５～６４歳）：95.0%以上</t>
    <rPh sb="13" eb="14">
      <t>サイ</t>
    </rPh>
    <rPh sb="21" eb="23">
      <t>イジョウ</t>
    </rPh>
    <phoneticPr fontId="13"/>
  </si>
  <si>
    <t>（基準値65.9％：R４）</t>
    <rPh sb="1" eb="4">
      <t>キジュンチ</t>
    </rPh>
    <phoneticPr fontId="13"/>
  </si>
  <si>
    <t>　　　８０２０（７５～８４歳）：75.0%以上</t>
    <rPh sb="13" eb="14">
      <t>サイ</t>
    </rPh>
    <rPh sb="21" eb="23">
      <t>イジョウ</t>
    </rPh>
    <phoneticPr fontId="13"/>
  </si>
  <si>
    <t>（基準値46.5％：R4）</t>
    <rPh sb="1" eb="4">
      <t>キジュンチ</t>
    </rPh>
    <phoneticPr fontId="13"/>
  </si>
  <si>
    <t>●問９：（喫煙の有無）あなたは、たばこを吸いますか。</t>
    <rPh sb="1" eb="2">
      <t>トイ</t>
    </rPh>
    <rPh sb="5" eb="7">
      <t>キツエン</t>
    </rPh>
    <rPh sb="8" eb="10">
      <t>ウム</t>
    </rPh>
    <rPh sb="20" eb="21">
      <t>ス</t>
    </rPh>
    <phoneticPr fontId="13"/>
  </si>
  <si>
    <r>
      <t>２．</t>
    </r>
    <r>
      <rPr>
        <sz val="8.5"/>
        <rFont val="游ゴシック"/>
        <family val="3"/>
        <charset val="128"/>
        <scheme val="minor"/>
      </rPr>
      <t>過去喫煙</t>
    </r>
    <rPh sb="2" eb="4">
      <t>カコ</t>
    </rPh>
    <rPh sb="4" eb="6">
      <t>キツエン</t>
    </rPh>
    <phoneticPr fontId="13"/>
  </si>
  <si>
    <t>●問10 ア：次の言葉を知っていますか。「8020（ハチマルニイマル）運動」</t>
    <rPh sb="1" eb="2">
      <t>トイ</t>
    </rPh>
    <rPh sb="7" eb="8">
      <t>ツギ</t>
    </rPh>
    <rPh sb="9" eb="11">
      <t>コトバ</t>
    </rPh>
    <rPh sb="12" eb="13">
      <t>シ</t>
    </rPh>
    <rPh sb="35" eb="37">
      <t>ウンドウ</t>
    </rPh>
    <phoneticPr fontId="13"/>
  </si>
  <si>
    <t>●問10 イ：次の言葉を知っていますか。「北海道歯・口腔の健康づくり8020推進週間」</t>
    <rPh sb="1" eb="2">
      <t>トイ</t>
    </rPh>
    <rPh sb="7" eb="8">
      <t>ツギ</t>
    </rPh>
    <rPh sb="9" eb="11">
      <t>コトバ</t>
    </rPh>
    <rPh sb="12" eb="13">
      <t>シ</t>
    </rPh>
    <rPh sb="21" eb="24">
      <t>ホッカイドウ</t>
    </rPh>
    <rPh sb="24" eb="25">
      <t>ハ</t>
    </rPh>
    <rPh sb="26" eb="28">
      <t>コウクウ</t>
    </rPh>
    <rPh sb="29" eb="31">
      <t>ケンコウ</t>
    </rPh>
    <rPh sb="38" eb="40">
      <t>スイシン</t>
    </rPh>
    <rPh sb="40" eb="42">
      <t>シュウカン</t>
    </rPh>
    <phoneticPr fontId="13"/>
  </si>
  <si>
    <t>●問10 ウ：次の言葉を知っていますか。「オーラルフレイル」</t>
    <rPh sb="1" eb="2">
      <t>トイ</t>
    </rPh>
    <rPh sb="7" eb="8">
      <t>ツギ</t>
    </rPh>
    <rPh sb="9" eb="11">
      <t>コトバ</t>
    </rPh>
    <rPh sb="12" eb="13">
      <t>シ</t>
    </rPh>
    <phoneticPr fontId="13"/>
  </si>
  <si>
    <t>●問11 ア：（食べ方・食事中の様子）ゆっくりよくかんで食事をする。</t>
    <rPh sb="1" eb="2">
      <t>トイ</t>
    </rPh>
    <rPh sb="8" eb="9">
      <t>タ</t>
    </rPh>
    <rPh sb="10" eb="11">
      <t>カタ</t>
    </rPh>
    <rPh sb="12" eb="14">
      <t>ショクジ</t>
    </rPh>
    <rPh sb="14" eb="15">
      <t>チュウ</t>
    </rPh>
    <rPh sb="16" eb="18">
      <t>ヨウス</t>
    </rPh>
    <rPh sb="28" eb="30">
      <t>ショクジ</t>
    </rPh>
    <phoneticPr fontId="13"/>
  </si>
  <si>
    <t>●問11 イ：（食べ方・食事中の様子）半年前に比べて固いものがたべにくくなった。</t>
    <rPh sb="1" eb="2">
      <t>トイ</t>
    </rPh>
    <rPh sb="8" eb="9">
      <t>タ</t>
    </rPh>
    <rPh sb="10" eb="11">
      <t>カタ</t>
    </rPh>
    <rPh sb="12" eb="14">
      <t>ショクジ</t>
    </rPh>
    <rPh sb="14" eb="15">
      <t>チュウ</t>
    </rPh>
    <rPh sb="16" eb="18">
      <t>ヨウス</t>
    </rPh>
    <phoneticPr fontId="13"/>
  </si>
  <si>
    <t>●問11 ウ：（食べ方・食事中の様子）お茶や汁物等でむせることがある。</t>
    <rPh sb="1" eb="2">
      <t>トイ</t>
    </rPh>
    <rPh sb="8" eb="9">
      <t>タ</t>
    </rPh>
    <rPh sb="10" eb="11">
      <t>カタ</t>
    </rPh>
    <rPh sb="12" eb="14">
      <t>ショクジ</t>
    </rPh>
    <rPh sb="14" eb="15">
      <t>チュウ</t>
    </rPh>
    <rPh sb="16" eb="18">
      <t>ヨウス</t>
    </rPh>
    <phoneticPr fontId="13"/>
  </si>
  <si>
    <t>●問11 エ：（食べ方・食事中の様子）口の渇きが気になる。</t>
    <rPh sb="1" eb="2">
      <t>トイ</t>
    </rPh>
    <rPh sb="8" eb="9">
      <t>タ</t>
    </rPh>
    <rPh sb="10" eb="11">
      <t>カタ</t>
    </rPh>
    <rPh sb="12" eb="14">
      <t>ショクジ</t>
    </rPh>
    <rPh sb="14" eb="15">
      <t>チュウ</t>
    </rPh>
    <rPh sb="16" eb="18">
      <t>ヨウス</t>
    </rPh>
    <phoneticPr fontId="13"/>
  </si>
  <si>
    <t>●問11 オ：（食べ方・食事中の様子）左右両方の奥歯でしっかりかみしめられる。</t>
    <rPh sb="1" eb="2">
      <t>トイ</t>
    </rPh>
    <rPh sb="8" eb="9">
      <t>タ</t>
    </rPh>
    <rPh sb="10" eb="11">
      <t>カタ</t>
    </rPh>
    <rPh sb="12" eb="14">
      <t>ショクジ</t>
    </rPh>
    <rPh sb="14" eb="15">
      <t>チュウ</t>
    </rPh>
    <rPh sb="16" eb="18">
      <t>ヨウス</t>
    </rPh>
    <phoneticPr fontId="13"/>
  </si>
  <si>
    <t>●問11 カ：（食べ方・食事中の様子）普段の会話で、言葉をはっきりと発音できないことがある。</t>
    <rPh sb="1" eb="2">
      <t>トイ</t>
    </rPh>
    <rPh sb="19" eb="21">
      <t>フダン</t>
    </rPh>
    <rPh sb="22" eb="24">
      <t>カイワ</t>
    </rPh>
    <rPh sb="26" eb="28">
      <t>コトバ</t>
    </rPh>
    <rPh sb="34" eb="36">
      <t>ハツオン</t>
    </rPh>
    <phoneticPr fontId="19"/>
  </si>
  <si>
    <t>　・調査実施時期：令和6年（2024年）５月～令和７年（2025年）３月</t>
    <rPh sb="2" eb="4">
      <t>チョウサ</t>
    </rPh>
    <rPh sb="4" eb="6">
      <t>ジッシ</t>
    </rPh>
    <rPh sb="6" eb="8">
      <t>ジキ</t>
    </rPh>
    <rPh sb="9" eb="11">
      <t>レイワ</t>
    </rPh>
    <rPh sb="12" eb="13">
      <t>ネン</t>
    </rPh>
    <rPh sb="18" eb="19">
      <t>ネン</t>
    </rPh>
    <rPh sb="21" eb="22">
      <t>ゲツ</t>
    </rPh>
    <rPh sb="23" eb="25">
      <t>レイワ</t>
    </rPh>
    <rPh sb="26" eb="27">
      <t>ネン</t>
    </rPh>
    <rPh sb="32" eb="33">
      <t>ネン</t>
    </rPh>
    <rPh sb="35" eb="36">
      <t>ゲツ</t>
    </rPh>
    <phoneticPr fontId="13"/>
  </si>
  <si>
    <t>●問5 ウ：歯医者あるいは歯科衛生士から「歯のまわりの骨が失われている」と言われたことがありますか。</t>
    <phoneticPr fontId="9"/>
  </si>
  <si>
    <t>●問5 エ：過去３ヶ月間に、歯ぐきから血が出たことはありますか。</t>
    <phoneticPr fontId="9"/>
  </si>
  <si>
    <t>　・調査参加者数：6,640人（性別、年齢不明者又は18歳未満の者を除く）</t>
    <rPh sb="2" eb="4">
      <t>チョウサ</t>
    </rPh>
    <rPh sb="4" eb="7">
      <t>サンカシャ</t>
    </rPh>
    <rPh sb="7" eb="8">
      <t>スウ</t>
    </rPh>
    <rPh sb="14" eb="15">
      <t>ニン</t>
    </rPh>
    <rPh sb="16" eb="18">
      <t>セイベツ</t>
    </rPh>
    <rPh sb="19" eb="21">
      <t>ネンレイ</t>
    </rPh>
    <rPh sb="21" eb="24">
      <t>フメイシャ</t>
    </rPh>
    <rPh sb="24" eb="25">
      <t>マタ</t>
    </rPh>
    <rPh sb="28" eb="31">
      <t>サイミマン</t>
    </rPh>
    <rPh sb="32" eb="33">
      <t>モノ</t>
    </rPh>
    <rPh sb="34" eb="35">
      <t>ノゾ</t>
    </rPh>
    <phoneticPr fontId="13"/>
  </si>
  <si>
    <t>（基準値67.6％：R4）</t>
    <rPh sb="1" eb="4">
      <t>キジュンチ</t>
    </rPh>
    <phoneticPr fontId="13"/>
  </si>
  <si>
    <t>　　　８０歳(７５歳～８４歳）での咀嚼良好者の割合：70.0%以上</t>
    <rPh sb="5" eb="6">
      <t>サイ</t>
    </rPh>
    <rPh sb="9" eb="10">
      <t>サイ</t>
    </rPh>
    <rPh sb="13" eb="14">
      <t>サイ</t>
    </rPh>
    <rPh sb="17" eb="19">
      <t>ソシャク</t>
    </rPh>
    <rPh sb="19" eb="21">
      <t>リョウコウ</t>
    </rPh>
    <rPh sb="21" eb="22">
      <t>シャ</t>
    </rPh>
    <rPh sb="23" eb="25">
      <t>ワリアイ</t>
    </rPh>
    <rPh sb="31" eb="33">
      <t>イジョウ</t>
    </rPh>
    <phoneticPr fontId="13"/>
  </si>
  <si>
    <t>・８０歳(７５歳～８４歳）での咀嚼良好者の割合</t>
    <phoneticPr fontId="9"/>
  </si>
  <si>
    <t>R6</t>
    <phoneticPr fontId="9"/>
  </si>
  <si>
    <t>●問5 イ：自然と歯がぐらつくようになったことはありますか（怪我によるものは除きます。）</t>
    <phoneticPr fontId="9"/>
  </si>
  <si>
    <t>*6　R6～質問に追加</t>
    <rPh sb="6" eb="8">
      <t>シツモン</t>
    </rPh>
    <rPh sb="9" eb="11">
      <t>ツイカ</t>
    </rPh>
    <phoneticPr fontId="9"/>
  </si>
  <si>
    <t>歯ぐきの病気にかかっているかもしれないと思う（％）*6　</t>
    <phoneticPr fontId="9"/>
  </si>
  <si>
    <t>自然と歯がぐらつくようになったことがある（％）*6　</t>
    <phoneticPr fontId="9"/>
  </si>
  <si>
    <t>歯医者あるいは歯科衛生士から「歯のまわりの骨が失われている」と言われたことがある（％）*6　</t>
    <phoneticPr fontId="9"/>
  </si>
  <si>
    <t>過去３ヶ月間に、歯ぐきから血が出たことがある（％）*6　</t>
    <phoneticPr fontId="9"/>
  </si>
  <si>
    <t>合計</t>
    <rPh sb="0" eb="2">
      <t>ゴウケイ</t>
    </rPh>
    <phoneticPr fontId="9"/>
  </si>
  <si>
    <t>歯肉に炎症所見を有する者：20歳代～30歳代（％）*6</t>
    <rPh sb="20" eb="22">
      <t>サイダイ</t>
    </rPh>
    <phoneticPr fontId="9"/>
  </si>
  <si>
    <t>普段の会話で、言葉をはっきりと発音できないことがある（％）*6</t>
    <phoneticPr fontId="9"/>
  </si>
  <si>
    <t>咀嚼良好者：　80歳(75歳～84歳）での咀嚼良好者の割合（％）*6</t>
    <rPh sb="0" eb="2">
      <t>ソシャク</t>
    </rPh>
    <rPh sb="2" eb="4">
      <t>リョウコウ</t>
    </rPh>
    <rPh sb="4" eb="5">
      <t>シャ</t>
    </rPh>
    <phoneticPr fontId="9"/>
  </si>
  <si>
    <t>　・調査実施市町村数：43市町村（16保健所管内）</t>
    <rPh sb="2" eb="4">
      <t>チョウサ</t>
    </rPh>
    <rPh sb="4" eb="6">
      <t>ジッシ</t>
    </rPh>
    <rPh sb="6" eb="9">
      <t>シチョウソン</t>
    </rPh>
    <rPh sb="9" eb="10">
      <t>スウ</t>
    </rPh>
    <rPh sb="13" eb="16">
      <t>シチョウソン</t>
    </rPh>
    <rPh sb="19" eb="22">
      <t>ホケンショ</t>
    </rPh>
    <rPh sb="22" eb="24">
      <t>カンナイ</t>
    </rPh>
    <phoneticPr fontId="13"/>
  </si>
  <si>
    <t>３．ときどき</t>
    <phoneticPr fontId="9"/>
  </si>
  <si>
    <t>●問７： 食事をかんで食べるときの状態はどれにあてはまりますか。</t>
    <rPh sb="1" eb="2">
      <t>トイ</t>
    </rPh>
    <phoneticPr fontId="13"/>
  </si>
  <si>
    <t>※アンケートにより28本以上の回答は、一律で28本として集計しています</t>
    <rPh sb="11" eb="12">
      <t>ホン</t>
    </rPh>
    <rPh sb="12" eb="14">
      <t>イジョウ</t>
    </rPh>
    <rPh sb="15" eb="17">
      <t>カイトウ</t>
    </rPh>
    <rPh sb="19" eb="21">
      <t>イチリツ</t>
    </rPh>
    <rPh sb="24" eb="25">
      <t>ホン</t>
    </rPh>
    <rPh sb="28" eb="30">
      <t>シュウケイ</t>
    </rPh>
    <phoneticPr fontId="9"/>
  </si>
  <si>
    <t>【令和７年度（2025年度）成人歯科保健に係る道民歯科保健実態調査　集計結果】</t>
    <rPh sb="1" eb="3">
      <t>レイワ</t>
    </rPh>
    <rPh sb="4" eb="6">
      <t>ネンド</t>
    </rPh>
    <rPh sb="11" eb="13">
      <t>ネンド</t>
    </rPh>
    <rPh sb="14" eb="16">
      <t>セイジン</t>
    </rPh>
    <rPh sb="16" eb="18">
      <t>シカ</t>
    </rPh>
    <rPh sb="18" eb="20">
      <t>ホケン</t>
    </rPh>
    <rPh sb="21" eb="22">
      <t>カカ</t>
    </rPh>
    <rPh sb="23" eb="25">
      <t>ドウミン</t>
    </rPh>
    <rPh sb="25" eb="27">
      <t>シカ</t>
    </rPh>
    <rPh sb="27" eb="29">
      <t>ホケン</t>
    </rPh>
    <rPh sb="29" eb="31">
      <t>ジッタイ</t>
    </rPh>
    <rPh sb="31" eb="33">
      <t>チョウサ</t>
    </rPh>
    <rPh sb="34" eb="36">
      <t>シュウケイ</t>
    </rPh>
    <rPh sb="36" eb="38">
      <t>ケッカ</t>
    </rPh>
    <phoneticPr fontId="13"/>
  </si>
  <si>
    <t>　・調査参加者数：6,714人（性別、年齢不明者又は18歳未満の者を除く）</t>
    <rPh sb="2" eb="4">
      <t>チョウサ</t>
    </rPh>
    <rPh sb="4" eb="7">
      <t>サンカシャ</t>
    </rPh>
    <rPh sb="7" eb="8">
      <t>スウ</t>
    </rPh>
    <rPh sb="14" eb="15">
      <t>ニン</t>
    </rPh>
    <rPh sb="16" eb="18">
      <t>セイベツ</t>
    </rPh>
    <rPh sb="19" eb="21">
      <t>ネンレイ</t>
    </rPh>
    <rPh sb="21" eb="24">
      <t>フメイシャ</t>
    </rPh>
    <rPh sb="24" eb="25">
      <t>マタ</t>
    </rPh>
    <rPh sb="28" eb="31">
      <t>サイミマン</t>
    </rPh>
    <rPh sb="32" eb="33">
      <t>モノ</t>
    </rPh>
    <rPh sb="34" eb="35">
      <t>ノゾ</t>
    </rPh>
    <phoneticPr fontId="13"/>
  </si>
  <si>
    <t>　・調査実施時期：令和７年（2025年）５月～令和８年（2026年）３月</t>
    <rPh sb="2" eb="4">
      <t>チョウサ</t>
    </rPh>
    <rPh sb="4" eb="6">
      <t>ジッシ</t>
    </rPh>
    <rPh sb="6" eb="8">
      <t>ジキ</t>
    </rPh>
    <rPh sb="9" eb="11">
      <t>レイワ</t>
    </rPh>
    <rPh sb="12" eb="13">
      <t>ネン</t>
    </rPh>
    <rPh sb="18" eb="19">
      <t>ネン</t>
    </rPh>
    <rPh sb="21" eb="22">
      <t>ゲツ</t>
    </rPh>
    <rPh sb="23" eb="25">
      <t>レイワ</t>
    </rPh>
    <rPh sb="26" eb="27">
      <t>ネン</t>
    </rPh>
    <rPh sb="32" eb="33">
      <t>ネン</t>
    </rPh>
    <rPh sb="35" eb="36">
      <t>ゲツ</t>
    </rPh>
    <phoneticPr fontId="13"/>
  </si>
  <si>
    <t>R7</t>
    <phoneticPr fontId="9"/>
  </si>
  <si>
    <t>　・調査実施市町村数：49市町村（16保健所管内）</t>
    <rPh sb="2" eb="4">
      <t>チョウサ</t>
    </rPh>
    <rPh sb="4" eb="6">
      <t>ジッシ</t>
    </rPh>
    <rPh sb="6" eb="9">
      <t>シチョウソン</t>
    </rPh>
    <rPh sb="9" eb="10">
      <t>スウ</t>
    </rPh>
    <rPh sb="13" eb="16">
      <t>シチョウソン</t>
    </rPh>
    <rPh sb="19" eb="22">
      <t>ホケンショ</t>
    </rPh>
    <rPh sb="22" eb="24">
      <t>カンナイ</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</si>
</sst>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Red]\-#,##0.0"/>
    <numFmt numFmtId="177" formatCode="0.0%"/>
    <numFmt numFmtId="178" formatCode="0.0"/>
    <numFmt numFmtId="179" formatCode="0.00_ "/>
    <numFmt numFmtId="180" formatCode="#,##0&quot;人&quot;;\-#,##0&quot;人&quot;"/>
    <numFmt numFmtId="181" formatCode="0.0_ "/>
    <numFmt numFmtId="182" formatCode="0_);[Red]\(0\)"/>
    <numFmt numFmtId="183" formatCode="0.0_);[Red]\(0.0\)"/>
  </numFmts>
  <fonts count="37"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scheme val="minor"/>
    </font>
    <font>
      <sz val="11"/>
      <color theme="1"/>
      <name val="ＭＳ Ｐゴシック"/>
      <family val="3"/>
      <charset val="128"/>
    </font>
    <font>
      <sz val="6"/>
      <name val="游ゴシック"/>
      <family val="3"/>
      <charset val="128"/>
      <scheme val="minor"/>
    </font>
    <font>
      <sz val="11"/>
      <color theme="1"/>
      <name val="ＭＳ ゴシック"/>
      <family val="3"/>
      <charset val="128"/>
    </font>
    <font>
      <sz val="11"/>
      <color rgb="FFFF0000"/>
      <name val="游ゴシック"/>
      <family val="2"/>
      <charset val="128"/>
      <scheme val="minor"/>
    </font>
    <font>
      <sz val="9"/>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8.5"/>
      <color theme="1"/>
      <name val="游ゴシック"/>
      <family val="3"/>
      <charset val="128"/>
      <scheme val="minor"/>
    </font>
    <font>
      <sz val="10"/>
      <color theme="1"/>
      <name val="游ゴシック"/>
      <family val="3"/>
      <charset val="128"/>
      <scheme val="minor"/>
    </font>
    <font>
      <sz val="9"/>
      <color theme="1"/>
      <name val="游ゴシック"/>
      <family val="3"/>
      <charset val="128"/>
      <scheme val="minor"/>
    </font>
    <font>
      <sz val="11"/>
      <color theme="1"/>
      <name val="游ゴシック"/>
      <family val="3"/>
      <charset val="128"/>
      <scheme val="minor"/>
    </font>
    <font>
      <sz val="11"/>
      <color rgb="FFFF0000"/>
      <name val="游ゴシック"/>
      <family val="3"/>
      <charset val="128"/>
      <scheme val="minor"/>
    </font>
    <font>
      <sz val="12"/>
      <color theme="1"/>
      <name val="游ゴシック"/>
      <family val="2"/>
      <charset val="128"/>
      <scheme val="minor"/>
    </font>
    <font>
      <sz val="14"/>
      <color theme="1"/>
      <name val="游ゴシック"/>
      <family val="2"/>
      <charset val="128"/>
      <scheme val="minor"/>
    </font>
    <font>
      <sz val="16"/>
      <color theme="1"/>
      <name val="游ゴシック"/>
      <family val="2"/>
      <charset val="128"/>
      <scheme val="minor"/>
    </font>
    <font>
      <b/>
      <sz val="11"/>
      <color rgb="FFFF0000"/>
      <name val="游ゴシック"/>
      <family val="3"/>
      <charset val="128"/>
      <scheme val="minor"/>
    </font>
    <font>
      <sz val="14"/>
      <color theme="1"/>
      <name val="游ゴシック"/>
      <family val="3"/>
      <charset val="128"/>
      <scheme val="minor"/>
    </font>
    <font>
      <sz val="12"/>
      <color theme="1"/>
      <name val="游ゴシック"/>
      <family val="3"/>
      <charset val="128"/>
      <scheme val="minor"/>
    </font>
    <font>
      <sz val="8"/>
      <color theme="1"/>
      <name val="游ゴシック"/>
      <family val="3"/>
      <charset val="128"/>
      <scheme val="minor"/>
    </font>
    <font>
      <sz val="16"/>
      <name val="游ゴシック"/>
      <family val="2"/>
      <charset val="128"/>
      <scheme val="minor"/>
    </font>
    <font>
      <sz val="12"/>
      <name val="游ゴシック"/>
      <family val="3"/>
      <charset val="128"/>
      <scheme val="minor"/>
    </font>
    <font>
      <sz val="11"/>
      <name val="游ゴシック"/>
      <family val="3"/>
      <charset val="128"/>
      <scheme val="minor"/>
    </font>
    <font>
      <sz val="10"/>
      <name val="游ゴシック"/>
      <family val="3"/>
      <charset val="128"/>
      <scheme val="minor"/>
    </font>
    <font>
      <sz val="11"/>
      <name val="游ゴシック"/>
      <family val="2"/>
      <charset val="128"/>
      <scheme val="minor"/>
    </font>
    <font>
      <sz val="9"/>
      <name val="游ゴシック"/>
      <family val="3"/>
      <charset val="128"/>
      <scheme val="minor"/>
    </font>
    <font>
      <sz val="8.5"/>
      <name val="游ゴシック"/>
      <family val="3"/>
      <charset val="128"/>
      <scheme val="minor"/>
    </font>
    <font>
      <sz val="11"/>
      <name val="ＭＳ Ｐゴシック"/>
      <family val="3"/>
      <charset val="128"/>
    </font>
    <font>
      <sz val="14"/>
      <name val="游ゴシック"/>
      <family val="3"/>
      <charset val="128"/>
      <scheme val="minor"/>
    </font>
    <font>
      <sz val="16"/>
      <name val="游ゴシック"/>
      <family val="3"/>
      <charset val="128"/>
      <scheme val="minor"/>
    </font>
  </fonts>
  <fills count="6">
    <fill>
      <patternFill patternType="none"/>
    </fill>
    <fill>
      <patternFill patternType="gray125"/>
    </fill>
    <fill>
      <patternFill patternType="solid">
        <fgColor theme="2"/>
        <bgColor indexed="64"/>
      </patternFill>
    </fill>
    <fill>
      <patternFill patternType="solid">
        <fgColor theme="8" tint="0.59999389629810485"/>
        <bgColor indexed="64"/>
      </patternFill>
    </fill>
    <fill>
      <patternFill patternType="solid">
        <fgColor theme="3" tint="0.79998168889431442"/>
        <bgColor indexed="64"/>
      </patternFill>
    </fill>
    <fill>
      <patternFill patternType="solid">
        <fgColor theme="6"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s>
  <cellStyleXfs count="18">
    <xf numFmtId="0" fontId="0" fillId="0" borderId="0"/>
    <xf numFmtId="38" fontId="7"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9" fontId="7"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425">
    <xf numFmtId="0" fontId="0" fillId="0" borderId="0" xfId="0"/>
    <xf numFmtId="0" fontId="8" fillId="0" borderId="0" xfId="0" applyFont="1"/>
    <xf numFmtId="176" fontId="8" fillId="0" borderId="1" xfId="1" applyNumberFormat="1" applyFont="1" applyBorder="1" applyAlignment="1"/>
    <xf numFmtId="176" fontId="8" fillId="2" borderId="1" xfId="1" applyNumberFormat="1" applyFont="1" applyFill="1" applyBorder="1" applyAlignment="1"/>
    <xf numFmtId="0" fontId="8" fillId="0" borderId="0" xfId="0" applyFont="1" applyAlignment="1"/>
    <xf numFmtId="38" fontId="8" fillId="0" borderId="3" xfId="1" applyFont="1" applyBorder="1" applyAlignment="1"/>
    <xf numFmtId="0" fontId="8" fillId="0" borderId="4" xfId="0" applyFont="1" applyBorder="1" applyAlignment="1">
      <alignment horizontal="left"/>
    </xf>
    <xf numFmtId="0" fontId="8" fillId="0" borderId="5" xfId="0" applyFont="1" applyBorder="1" applyAlignment="1">
      <alignment horizontal="center"/>
    </xf>
    <xf numFmtId="0" fontId="10" fillId="0" borderId="0" xfId="0" applyFont="1"/>
    <xf numFmtId="0" fontId="6" fillId="0" borderId="0" xfId="2">
      <alignment vertical="center"/>
    </xf>
    <xf numFmtId="177" fontId="6" fillId="0" borderId="0" xfId="2" applyNumberFormat="1" applyFont="1">
      <alignment vertical="center"/>
    </xf>
    <xf numFmtId="0" fontId="12" fillId="0" borderId="0" xfId="2" applyFont="1" applyBorder="1" applyAlignment="1">
      <alignment horizontal="center" vertical="center"/>
    </xf>
    <xf numFmtId="38" fontId="0" fillId="0" borderId="3" xfId="3" applyFont="1" applyBorder="1">
      <alignment vertical="center"/>
    </xf>
    <xf numFmtId="0" fontId="6" fillId="0" borderId="3" xfId="2" applyBorder="1" applyAlignment="1">
      <alignment horizontal="center" vertical="center"/>
    </xf>
    <xf numFmtId="38" fontId="0" fillId="0" borderId="6" xfId="3" applyFont="1" applyBorder="1">
      <alignment vertical="center"/>
    </xf>
    <xf numFmtId="38" fontId="0" fillId="0" borderId="1" xfId="3" applyFont="1" applyBorder="1">
      <alignment vertical="center"/>
    </xf>
    <xf numFmtId="38" fontId="0" fillId="0" borderId="7" xfId="3" applyFont="1" applyBorder="1">
      <alignment vertical="center"/>
    </xf>
    <xf numFmtId="38" fontId="0" fillId="0" borderId="8" xfId="3" applyFont="1" applyBorder="1">
      <alignment vertical="center"/>
    </xf>
    <xf numFmtId="0" fontId="12" fillId="0" borderId="9" xfId="2" applyFont="1" applyBorder="1" applyAlignment="1">
      <alignment horizontal="center" vertical="center"/>
    </xf>
    <xf numFmtId="0" fontId="6" fillId="0" borderId="9" xfId="2" applyBorder="1" applyAlignment="1">
      <alignment horizontal="center" vertical="center"/>
    </xf>
    <xf numFmtId="38" fontId="0" fillId="0" borderId="10" xfId="3" applyFont="1" applyBorder="1">
      <alignment vertical="center"/>
    </xf>
    <xf numFmtId="0" fontId="6" fillId="0" borderId="11" xfId="2" applyBorder="1" applyAlignment="1">
      <alignment horizontal="center" vertical="center"/>
    </xf>
    <xf numFmtId="0" fontId="6" fillId="0" borderId="6" xfId="2" applyBorder="1" applyAlignment="1">
      <alignment horizontal="center" vertical="center"/>
    </xf>
    <xf numFmtId="0" fontId="6" fillId="0" borderId="1" xfId="2" applyBorder="1" applyAlignment="1">
      <alignment horizontal="center" vertical="center"/>
    </xf>
    <xf numFmtId="0" fontId="6" fillId="0" borderId="10" xfId="2" applyBorder="1" applyAlignment="1">
      <alignment horizontal="center" vertical="center"/>
    </xf>
    <xf numFmtId="0" fontId="6" fillId="0" borderId="11" xfId="2" applyBorder="1">
      <alignment vertical="center"/>
    </xf>
    <xf numFmtId="0" fontId="6" fillId="0" borderId="0" xfId="2" applyAlignment="1">
      <alignment horizontal="right" vertical="center"/>
    </xf>
    <xf numFmtId="0" fontId="6" fillId="0" borderId="0" xfId="2" applyBorder="1">
      <alignment vertical="center"/>
    </xf>
    <xf numFmtId="0" fontId="14" fillId="0" borderId="0" xfId="2" applyFont="1">
      <alignment vertical="center"/>
    </xf>
    <xf numFmtId="0" fontId="6" fillId="0" borderId="12" xfId="2" applyBorder="1">
      <alignment vertical="center"/>
    </xf>
    <xf numFmtId="0" fontId="6" fillId="0" borderId="13" xfId="2" applyFont="1" applyBorder="1">
      <alignment vertical="center"/>
    </xf>
    <xf numFmtId="177" fontId="6" fillId="0" borderId="1" xfId="2" applyNumberFormat="1" applyFont="1" applyBorder="1">
      <alignment vertical="center"/>
    </xf>
    <xf numFmtId="0" fontId="14" fillId="0" borderId="1" xfId="2" applyFont="1" applyBorder="1" applyAlignment="1">
      <alignment horizontal="center" vertical="center"/>
    </xf>
    <xf numFmtId="10" fontId="6" fillId="0" borderId="0" xfId="2" applyNumberFormat="1">
      <alignment vertical="center"/>
    </xf>
    <xf numFmtId="0" fontId="6" fillId="0" borderId="0" xfId="2" applyFont="1">
      <alignment vertical="center"/>
    </xf>
    <xf numFmtId="178" fontId="6" fillId="0" borderId="0" xfId="2" applyNumberFormat="1" applyFont="1">
      <alignment vertical="center"/>
    </xf>
    <xf numFmtId="38" fontId="0" fillId="0" borderId="0" xfId="3" applyFont="1">
      <alignment vertical="center"/>
    </xf>
    <xf numFmtId="38" fontId="0" fillId="0" borderId="14" xfId="3" applyFont="1" applyBorder="1">
      <alignment vertical="center"/>
    </xf>
    <xf numFmtId="176" fontId="0" fillId="0" borderId="1" xfId="3" applyNumberFormat="1" applyFont="1" applyBorder="1">
      <alignment vertical="center"/>
    </xf>
    <xf numFmtId="176" fontId="0" fillId="0" borderId="7" xfId="3" applyNumberFormat="1" applyFont="1" applyBorder="1">
      <alignment vertical="center"/>
    </xf>
    <xf numFmtId="176" fontId="0" fillId="0" borderId="8" xfId="3" applyNumberFormat="1" applyFont="1" applyBorder="1">
      <alignment vertical="center"/>
    </xf>
    <xf numFmtId="176" fontId="0" fillId="0" borderId="3" xfId="3" applyNumberFormat="1" applyFont="1" applyBorder="1">
      <alignment vertical="center"/>
    </xf>
    <xf numFmtId="0" fontId="14" fillId="0" borderId="9" xfId="2" applyFont="1" applyBorder="1" applyAlignment="1">
      <alignment horizontal="center" vertical="center"/>
    </xf>
    <xf numFmtId="0" fontId="16" fillId="0" borderId="9" xfId="2" applyFont="1" applyBorder="1" applyAlignment="1">
      <alignment horizontal="center" vertical="center"/>
    </xf>
    <xf numFmtId="38" fontId="0" fillId="0" borderId="13" xfId="3" applyFont="1" applyBorder="1">
      <alignment vertical="center"/>
    </xf>
    <xf numFmtId="0" fontId="14" fillId="0" borderId="11" xfId="2" applyFont="1" applyBorder="1" applyAlignment="1">
      <alignment horizontal="center" vertical="center"/>
    </xf>
    <xf numFmtId="177" fontId="6" fillId="0" borderId="0" xfId="2" applyNumberFormat="1" applyFont="1" applyAlignment="1">
      <alignment horizontal="center" vertical="center"/>
    </xf>
    <xf numFmtId="0" fontId="6" fillId="0" borderId="0" xfId="2" applyAlignment="1">
      <alignment horizontal="center" vertical="center"/>
    </xf>
    <xf numFmtId="38" fontId="0" fillId="0" borderId="0" xfId="3" applyFont="1" applyBorder="1">
      <alignment vertical="center"/>
    </xf>
    <xf numFmtId="177" fontId="0" fillId="0" borderId="0" xfId="4" applyNumberFormat="1" applyFont="1" applyBorder="1" applyAlignment="1">
      <alignment horizontal="right" vertical="center"/>
    </xf>
    <xf numFmtId="0" fontId="17" fillId="0" borderId="0" xfId="2" applyFont="1">
      <alignment vertical="center"/>
    </xf>
    <xf numFmtId="0" fontId="12" fillId="0" borderId="0" xfId="2" applyFont="1">
      <alignment vertical="center"/>
    </xf>
    <xf numFmtId="0" fontId="6" fillId="0" borderId="0" xfId="2" applyBorder="1" applyAlignment="1">
      <alignment horizontal="center" vertical="center"/>
    </xf>
    <xf numFmtId="177" fontId="6" fillId="0" borderId="0" xfId="2" applyNumberFormat="1">
      <alignment vertical="center"/>
    </xf>
    <xf numFmtId="177" fontId="0" fillId="0" borderId="0" xfId="4" applyNumberFormat="1" applyFont="1">
      <alignment vertical="center"/>
    </xf>
    <xf numFmtId="0" fontId="16" fillId="0" borderId="0" xfId="2" applyFont="1" applyAlignment="1">
      <alignment horizontal="center" vertical="center"/>
    </xf>
    <xf numFmtId="0" fontId="18" fillId="0" borderId="0" xfId="2" applyFont="1" applyAlignment="1">
      <alignment horizontal="center" vertical="center"/>
    </xf>
    <xf numFmtId="0" fontId="6" fillId="0" borderId="0" xfId="2" applyFont="1" applyAlignment="1">
      <alignment horizontal="center" vertical="center"/>
    </xf>
    <xf numFmtId="0" fontId="19" fillId="0" borderId="0" xfId="2" applyFont="1">
      <alignment vertical="center"/>
    </xf>
    <xf numFmtId="0" fontId="18" fillId="0" borderId="0" xfId="2" applyFont="1">
      <alignment vertical="center"/>
    </xf>
    <xf numFmtId="0" fontId="14" fillId="0" borderId="0" xfId="2" applyFont="1" applyAlignment="1">
      <alignment horizontal="center" vertical="center"/>
    </xf>
    <xf numFmtId="0" fontId="6" fillId="0" borderId="12" xfId="2" applyFill="1" applyBorder="1">
      <alignment vertical="center"/>
    </xf>
    <xf numFmtId="0" fontId="6" fillId="0" borderId="0" xfId="2" applyFill="1" applyBorder="1">
      <alignment vertical="center"/>
    </xf>
    <xf numFmtId="10" fontId="11" fillId="0" borderId="13" xfId="2" applyNumberFormat="1" applyFont="1" applyBorder="1">
      <alignment vertical="center"/>
    </xf>
    <xf numFmtId="0" fontId="14" fillId="0" borderId="3" xfId="2" applyFont="1" applyFill="1" applyBorder="1" applyAlignment="1">
      <alignment horizontal="center" vertical="center"/>
    </xf>
    <xf numFmtId="0" fontId="6" fillId="0" borderId="15" xfId="2" applyBorder="1">
      <alignment vertical="center"/>
    </xf>
    <xf numFmtId="10" fontId="6" fillId="0" borderId="15" xfId="2" applyNumberFormat="1" applyBorder="1">
      <alignment vertical="center"/>
    </xf>
    <xf numFmtId="177" fontId="18" fillId="0" borderId="0" xfId="2" applyNumberFormat="1" applyFont="1" applyAlignment="1">
      <alignment horizontal="left" vertical="center"/>
    </xf>
    <xf numFmtId="0" fontId="6" fillId="0" borderId="0" xfId="2" applyFont="1" applyAlignment="1">
      <alignment horizontal="left" vertical="center"/>
    </xf>
    <xf numFmtId="0" fontId="6" fillId="0" borderId="7" xfId="2" applyBorder="1">
      <alignment vertical="center"/>
    </xf>
    <xf numFmtId="0" fontId="20" fillId="0" borderId="0" xfId="2" applyFont="1">
      <alignment vertical="center"/>
    </xf>
    <xf numFmtId="0" fontId="6" fillId="0" borderId="0" xfId="2" applyFont="1" applyFill="1">
      <alignment vertical="center"/>
    </xf>
    <xf numFmtId="0" fontId="21" fillId="0" borderId="0" xfId="2" applyFont="1">
      <alignment vertical="center"/>
    </xf>
    <xf numFmtId="0" fontId="22" fillId="0" borderId="0" xfId="2" applyFont="1">
      <alignment vertical="center"/>
    </xf>
    <xf numFmtId="0" fontId="23" fillId="0" borderId="0" xfId="2" applyFont="1">
      <alignment vertical="center"/>
    </xf>
    <xf numFmtId="177" fontId="6" fillId="0" borderId="0" xfId="2" applyNumberFormat="1" applyAlignment="1">
      <alignment horizontal="center" vertical="center"/>
    </xf>
    <xf numFmtId="177" fontId="6" fillId="0" borderId="6" xfId="2" applyNumberFormat="1" applyFont="1" applyBorder="1">
      <alignment vertical="center"/>
    </xf>
    <xf numFmtId="10" fontId="6" fillId="0" borderId="0" xfId="2" applyNumberFormat="1" applyAlignment="1">
      <alignment horizontal="center" vertical="center"/>
    </xf>
    <xf numFmtId="0" fontId="6" fillId="0" borderId="8" xfId="2" applyFont="1" applyBorder="1">
      <alignment vertical="center"/>
    </xf>
    <xf numFmtId="0" fontId="6" fillId="0" borderId="3" xfId="2" applyFont="1" applyBorder="1">
      <alignment vertical="center"/>
    </xf>
    <xf numFmtId="0" fontId="6" fillId="0" borderId="6" xfId="2" applyFont="1" applyBorder="1">
      <alignment vertical="center"/>
    </xf>
    <xf numFmtId="0" fontId="6" fillId="0" borderId="1" xfId="2" applyFont="1" applyBorder="1">
      <alignment vertical="center"/>
    </xf>
    <xf numFmtId="0" fontId="6" fillId="0" borderId="7" xfId="2" applyFont="1" applyBorder="1">
      <alignment vertical="center"/>
    </xf>
    <xf numFmtId="0" fontId="6" fillId="0" borderId="10" xfId="2" applyFont="1" applyBorder="1">
      <alignment vertical="center"/>
    </xf>
    <xf numFmtId="0" fontId="6" fillId="0" borderId="14" xfId="2" applyFont="1" applyBorder="1">
      <alignment vertical="center"/>
    </xf>
    <xf numFmtId="179" fontId="6" fillId="0" borderId="1" xfId="2" applyNumberFormat="1" applyFont="1" applyBorder="1">
      <alignment vertical="center"/>
    </xf>
    <xf numFmtId="179" fontId="6" fillId="0" borderId="7" xfId="2" applyNumberFormat="1" applyFont="1" applyBorder="1">
      <alignment vertical="center"/>
    </xf>
    <xf numFmtId="179" fontId="6" fillId="0" borderId="8" xfId="2" applyNumberFormat="1" applyFont="1" applyBorder="1">
      <alignment vertical="center"/>
    </xf>
    <xf numFmtId="179" fontId="6" fillId="0" borderId="3" xfId="2" applyNumberFormat="1" applyFont="1" applyBorder="1">
      <alignment vertical="center"/>
    </xf>
    <xf numFmtId="0" fontId="6" fillId="0" borderId="8" xfId="2" applyBorder="1">
      <alignment vertical="center"/>
    </xf>
    <xf numFmtId="0" fontId="6" fillId="0" borderId="1" xfId="2" applyBorder="1">
      <alignment vertical="center"/>
    </xf>
    <xf numFmtId="0" fontId="6" fillId="0" borderId="13" xfId="2" applyBorder="1">
      <alignment vertical="center"/>
    </xf>
    <xf numFmtId="177" fontId="6" fillId="0" borderId="6" xfId="2" applyNumberFormat="1" applyBorder="1">
      <alignment vertical="center"/>
    </xf>
    <xf numFmtId="177" fontId="6" fillId="0" borderId="1" xfId="2" applyNumberFormat="1" applyBorder="1">
      <alignment vertical="center"/>
    </xf>
    <xf numFmtId="0" fontId="6" fillId="0" borderId="3" xfId="2" applyBorder="1">
      <alignment vertical="center"/>
    </xf>
    <xf numFmtId="0" fontId="6" fillId="0" borderId="6" xfId="2" applyBorder="1">
      <alignment vertical="center"/>
    </xf>
    <xf numFmtId="0" fontId="6" fillId="0" borderId="10" xfId="2" applyBorder="1">
      <alignment vertical="center"/>
    </xf>
    <xf numFmtId="0" fontId="6" fillId="0" borderId="14" xfId="2" applyBorder="1">
      <alignment vertical="center"/>
    </xf>
    <xf numFmtId="179" fontId="6" fillId="0" borderId="1" xfId="2" applyNumberFormat="1" applyBorder="1">
      <alignment vertical="center"/>
    </xf>
    <xf numFmtId="179" fontId="6" fillId="0" borderId="7" xfId="2" applyNumberFormat="1" applyBorder="1">
      <alignment vertical="center"/>
    </xf>
    <xf numFmtId="179" fontId="6" fillId="0" borderId="8" xfId="2" applyNumberFormat="1" applyBorder="1">
      <alignment vertical="center"/>
    </xf>
    <xf numFmtId="179" fontId="6" fillId="0" borderId="3" xfId="2" applyNumberFormat="1" applyBorder="1">
      <alignment vertical="center"/>
    </xf>
    <xf numFmtId="10" fontId="6" fillId="0" borderId="13" xfId="2" applyNumberFormat="1" applyBorder="1">
      <alignment vertical="center"/>
    </xf>
    <xf numFmtId="177" fontId="6" fillId="0" borderId="0" xfId="2" applyNumberFormat="1" applyAlignment="1">
      <alignment horizontal="left" vertical="center"/>
    </xf>
    <xf numFmtId="0" fontId="6" fillId="0" borderId="0" xfId="2" applyAlignment="1">
      <alignment horizontal="left" vertical="center"/>
    </xf>
    <xf numFmtId="0" fontId="4" fillId="0" borderId="0" xfId="8">
      <alignment vertical="center"/>
    </xf>
    <xf numFmtId="0" fontId="22" fillId="0" borderId="0" xfId="8" applyFont="1">
      <alignment vertical="center"/>
    </xf>
    <xf numFmtId="0" fontId="21" fillId="0" borderId="0" xfId="8" applyFont="1">
      <alignment vertical="center"/>
    </xf>
    <xf numFmtId="0" fontId="20" fillId="0" borderId="0" xfId="8" applyFont="1">
      <alignment vertical="center"/>
    </xf>
    <xf numFmtId="0" fontId="4" fillId="0" borderId="0" xfId="8" applyFont="1">
      <alignment vertical="center"/>
    </xf>
    <xf numFmtId="0" fontId="18" fillId="0" borderId="0" xfId="8" applyFont="1" applyFill="1">
      <alignment vertical="center"/>
    </xf>
    <xf numFmtId="0" fontId="18" fillId="0" borderId="0" xfId="8" applyFont="1">
      <alignment vertical="center"/>
    </xf>
    <xf numFmtId="0" fontId="4" fillId="0" borderId="0" xfId="8" applyAlignment="1">
      <alignment horizontal="right" vertical="center"/>
    </xf>
    <xf numFmtId="0" fontId="4" fillId="0" borderId="7" xfId="8" applyBorder="1">
      <alignment vertical="center"/>
    </xf>
    <xf numFmtId="0" fontId="4" fillId="0" borderId="0" xfId="8" applyAlignment="1">
      <alignment horizontal="center" vertical="center"/>
    </xf>
    <xf numFmtId="180" fontId="4" fillId="0" borderId="0" xfId="8" applyNumberFormat="1" applyFont="1" applyAlignment="1">
      <alignment horizontal="left" vertical="center"/>
    </xf>
    <xf numFmtId="177" fontId="18" fillId="0" borderId="0" xfId="8" applyNumberFormat="1" applyFont="1" applyAlignment="1">
      <alignment horizontal="left" vertical="center"/>
    </xf>
    <xf numFmtId="10" fontId="4" fillId="0" borderId="15" xfId="8" applyNumberFormat="1" applyBorder="1">
      <alignment vertical="center"/>
    </xf>
    <xf numFmtId="0" fontId="4" fillId="0" borderId="11" xfId="8" applyBorder="1">
      <alignment vertical="center"/>
    </xf>
    <xf numFmtId="0" fontId="4" fillId="0" borderId="1" xfId="8" applyBorder="1" applyAlignment="1">
      <alignment horizontal="center" vertical="center"/>
    </xf>
    <xf numFmtId="0" fontId="4" fillId="0" borderId="6" xfId="8" applyBorder="1" applyAlignment="1">
      <alignment horizontal="center" vertical="center"/>
    </xf>
    <xf numFmtId="0" fontId="4" fillId="0" borderId="10" xfId="8" applyBorder="1" applyAlignment="1">
      <alignment horizontal="center" vertical="center"/>
    </xf>
    <xf numFmtId="0" fontId="4" fillId="0" borderId="11" xfId="8" applyBorder="1" applyAlignment="1">
      <alignment horizontal="center" vertical="center"/>
    </xf>
    <xf numFmtId="38" fontId="0" fillId="0" borderId="1" xfId="9" applyFont="1" applyBorder="1">
      <alignment vertical="center"/>
    </xf>
    <xf numFmtId="38" fontId="0" fillId="0" borderId="6" xfId="9" applyFont="1" applyBorder="1">
      <alignment vertical="center"/>
    </xf>
    <xf numFmtId="38" fontId="0" fillId="0" borderId="10" xfId="9" applyFont="1" applyBorder="1">
      <alignment vertical="center"/>
    </xf>
    <xf numFmtId="0" fontId="19" fillId="0" borderId="0" xfId="8" applyFont="1">
      <alignment vertical="center"/>
    </xf>
    <xf numFmtId="0" fontId="4" fillId="0" borderId="15" xfId="8" applyBorder="1">
      <alignment vertical="center"/>
    </xf>
    <xf numFmtId="0" fontId="4" fillId="0" borderId="0" xfId="8" applyBorder="1">
      <alignment vertical="center"/>
    </xf>
    <xf numFmtId="38" fontId="0" fillId="0" borderId="8" xfId="9" applyFont="1" applyBorder="1">
      <alignment vertical="center"/>
    </xf>
    <xf numFmtId="0" fontId="14" fillId="0" borderId="3" xfId="8" applyFont="1" applyFill="1" applyBorder="1" applyAlignment="1">
      <alignment horizontal="center" vertical="center"/>
    </xf>
    <xf numFmtId="177" fontId="4" fillId="0" borderId="1" xfId="8" applyNumberFormat="1" applyFont="1" applyBorder="1">
      <alignment vertical="center"/>
    </xf>
    <xf numFmtId="10" fontId="11" fillId="0" borderId="13" xfId="8" applyNumberFormat="1" applyFont="1" applyBorder="1">
      <alignment vertical="center"/>
    </xf>
    <xf numFmtId="0" fontId="4" fillId="0" borderId="0" xfId="8" applyFill="1" applyBorder="1">
      <alignment vertical="center"/>
    </xf>
    <xf numFmtId="0" fontId="4" fillId="0" borderId="12" xfId="8" applyFill="1" applyBorder="1">
      <alignment vertical="center"/>
    </xf>
    <xf numFmtId="0" fontId="4" fillId="0" borderId="12" xfId="8" applyBorder="1">
      <alignment vertical="center"/>
    </xf>
    <xf numFmtId="0" fontId="14" fillId="0" borderId="0" xfId="8" applyFont="1" applyAlignment="1">
      <alignment horizontal="center" vertical="center"/>
    </xf>
    <xf numFmtId="0" fontId="4" fillId="0" borderId="9" xfId="8" applyBorder="1" applyAlignment="1">
      <alignment horizontal="center" vertical="center"/>
    </xf>
    <xf numFmtId="38" fontId="0" fillId="0" borderId="3" xfId="9" applyFont="1" applyBorder="1">
      <alignment vertical="center"/>
    </xf>
    <xf numFmtId="38" fontId="0" fillId="0" borderId="7" xfId="9" applyFont="1" applyBorder="1">
      <alignment vertical="center"/>
    </xf>
    <xf numFmtId="0" fontId="12" fillId="0" borderId="9" xfId="8" applyFont="1" applyBorder="1" applyAlignment="1">
      <alignment horizontal="center" vertical="center"/>
    </xf>
    <xf numFmtId="0" fontId="4" fillId="0" borderId="3" xfId="8" applyBorder="1" applyAlignment="1">
      <alignment horizontal="center" vertical="center"/>
    </xf>
    <xf numFmtId="177" fontId="4" fillId="0" borderId="0" xfId="8" applyNumberFormat="1" applyFont="1" applyAlignment="1">
      <alignment horizontal="center" vertical="center"/>
    </xf>
    <xf numFmtId="177" fontId="4" fillId="0" borderId="0" xfId="8" applyNumberFormat="1">
      <alignment vertical="center"/>
    </xf>
    <xf numFmtId="177" fontId="4" fillId="0" borderId="0" xfId="8" applyNumberFormat="1" applyFont="1">
      <alignment vertical="center"/>
    </xf>
    <xf numFmtId="0" fontId="12" fillId="0" borderId="0" xfId="8" applyFont="1" applyBorder="1" applyAlignment="1">
      <alignment horizontal="center" vertical="center"/>
    </xf>
    <xf numFmtId="0" fontId="14" fillId="0" borderId="0" xfId="8" applyFont="1">
      <alignment vertical="center"/>
    </xf>
    <xf numFmtId="0" fontId="4" fillId="0" borderId="0" xfId="8" applyFont="1" applyAlignment="1">
      <alignment horizontal="center" vertical="center"/>
    </xf>
    <xf numFmtId="38" fontId="0" fillId="0" borderId="0" xfId="9" applyFont="1">
      <alignment vertical="center"/>
    </xf>
    <xf numFmtId="0" fontId="18" fillId="0" borderId="0" xfId="8" applyFont="1" applyAlignment="1">
      <alignment horizontal="center" vertical="center"/>
    </xf>
    <xf numFmtId="0" fontId="16" fillId="0" borderId="0" xfId="8" applyFont="1" applyAlignment="1">
      <alignment horizontal="center" vertical="center"/>
    </xf>
    <xf numFmtId="177" fontId="0" fillId="0" borderId="0" xfId="10" applyNumberFormat="1" applyFont="1">
      <alignment vertical="center"/>
    </xf>
    <xf numFmtId="0" fontId="12" fillId="0" borderId="0" xfId="8" applyFont="1">
      <alignment vertical="center"/>
    </xf>
    <xf numFmtId="0" fontId="17" fillId="0" borderId="0" xfId="8" applyFont="1">
      <alignment vertical="center"/>
    </xf>
    <xf numFmtId="0" fontId="4" fillId="0" borderId="0" xfId="8" applyBorder="1" applyAlignment="1">
      <alignment horizontal="center" vertical="center"/>
    </xf>
    <xf numFmtId="38" fontId="0" fillId="0" borderId="0" xfId="9" applyFont="1" applyBorder="1">
      <alignment vertical="center"/>
    </xf>
    <xf numFmtId="177" fontId="0" fillId="0" borderId="0" xfId="10" applyNumberFormat="1" applyFont="1" applyBorder="1" applyAlignment="1">
      <alignment horizontal="right" vertical="center"/>
    </xf>
    <xf numFmtId="0" fontId="14" fillId="0" borderId="11" xfId="8" applyFont="1" applyBorder="1" applyAlignment="1">
      <alignment horizontal="center" vertical="center"/>
    </xf>
    <xf numFmtId="38" fontId="0" fillId="0" borderId="13" xfId="9" applyFont="1" applyBorder="1">
      <alignment vertical="center"/>
    </xf>
    <xf numFmtId="0" fontId="16" fillId="0" borderId="9" xfId="8" applyFont="1" applyBorder="1" applyAlignment="1">
      <alignment horizontal="center" vertical="center"/>
    </xf>
    <xf numFmtId="38" fontId="0" fillId="0" borderId="14" xfId="9" applyFont="1" applyBorder="1">
      <alignment vertical="center"/>
    </xf>
    <xf numFmtId="0" fontId="14" fillId="0" borderId="9" xfId="8" applyFont="1" applyBorder="1" applyAlignment="1">
      <alignment horizontal="center" vertical="center"/>
    </xf>
    <xf numFmtId="176" fontId="0" fillId="0" borderId="3" xfId="9" applyNumberFormat="1" applyFont="1" applyBorder="1">
      <alignment vertical="center"/>
    </xf>
    <xf numFmtId="176" fontId="0" fillId="0" borderId="8" xfId="9" applyNumberFormat="1" applyFont="1" applyBorder="1">
      <alignment vertical="center"/>
    </xf>
    <xf numFmtId="176" fontId="0" fillId="0" borderId="7" xfId="9" applyNumberFormat="1" applyFont="1" applyBorder="1">
      <alignment vertical="center"/>
    </xf>
    <xf numFmtId="176" fontId="0" fillId="0" borderId="1" xfId="9" applyNumberFormat="1" applyFont="1" applyBorder="1">
      <alignment vertical="center"/>
    </xf>
    <xf numFmtId="178" fontId="4" fillId="0" borderId="0" xfId="8" applyNumberFormat="1" applyFont="1">
      <alignment vertical="center"/>
    </xf>
    <xf numFmtId="10" fontId="4" fillId="0" borderId="0" xfId="8" applyNumberFormat="1">
      <alignment vertical="center"/>
    </xf>
    <xf numFmtId="0" fontId="14" fillId="0" borderId="1" xfId="8" applyFont="1" applyBorder="1" applyAlignment="1">
      <alignment horizontal="center" vertical="center"/>
    </xf>
    <xf numFmtId="0" fontId="4" fillId="0" borderId="13" xfId="8" applyFont="1" applyBorder="1">
      <alignment vertical="center"/>
    </xf>
    <xf numFmtId="0" fontId="8" fillId="0" borderId="17" xfId="0" applyFont="1" applyBorder="1" applyAlignment="1">
      <alignment horizontal="center"/>
    </xf>
    <xf numFmtId="0" fontId="22" fillId="0" borderId="0" xfId="0" applyFont="1" applyFill="1" applyAlignment="1">
      <alignment vertical="center"/>
    </xf>
    <xf numFmtId="0" fontId="0" fillId="0" borderId="0" xfId="0" applyFont="1" applyFill="1" applyAlignment="1">
      <alignment vertical="center"/>
    </xf>
    <xf numFmtId="0" fontId="8" fillId="0" borderId="19" xfId="0" applyFont="1" applyBorder="1" applyAlignment="1">
      <alignment horizontal="center"/>
    </xf>
    <xf numFmtId="0" fontId="0" fillId="0" borderId="0" xfId="0" applyFont="1" applyAlignment="1">
      <alignment vertical="center"/>
    </xf>
    <xf numFmtId="177" fontId="18" fillId="0" borderId="0" xfId="0" applyNumberFormat="1" applyFont="1" applyAlignment="1">
      <alignment horizontal="left" vertical="center"/>
    </xf>
    <xf numFmtId="0" fontId="18" fillId="0" borderId="0" xfId="0" applyFont="1" applyAlignment="1">
      <alignment horizontal="center" vertical="center"/>
    </xf>
    <xf numFmtId="0" fontId="16" fillId="0" borderId="0" xfId="0" applyFont="1" applyAlignment="1">
      <alignment horizontal="center" vertical="center"/>
    </xf>
    <xf numFmtId="0" fontId="16" fillId="0" borderId="9" xfId="0" applyFont="1" applyBorder="1" applyAlignment="1">
      <alignment horizontal="center" vertical="center"/>
    </xf>
    <xf numFmtId="0" fontId="18" fillId="0" borderId="0" xfId="0" applyFont="1" applyFill="1" applyAlignment="1">
      <alignment vertical="center"/>
    </xf>
    <xf numFmtId="0" fontId="18" fillId="3" borderId="0" xfId="0" applyFont="1" applyFill="1" applyAlignment="1">
      <alignment vertical="center"/>
    </xf>
    <xf numFmtId="0" fontId="18" fillId="0" borderId="0" xfId="0" applyFont="1" applyAlignment="1">
      <alignment vertical="center"/>
    </xf>
    <xf numFmtId="0" fontId="18" fillId="0" borderId="0" xfId="0" applyFont="1" applyAlignment="1">
      <alignment horizontal="right" vertical="center"/>
    </xf>
    <xf numFmtId="0" fontId="18" fillId="0" borderId="7" xfId="0" applyFont="1" applyBorder="1" applyAlignment="1">
      <alignment vertical="center"/>
    </xf>
    <xf numFmtId="10" fontId="18" fillId="0" borderId="15" xfId="0" applyNumberFormat="1" applyFont="1" applyBorder="1" applyAlignment="1">
      <alignment vertical="center"/>
    </xf>
    <xf numFmtId="0" fontId="18" fillId="0" borderId="11" xfId="0" applyFont="1" applyBorder="1" applyAlignment="1">
      <alignment vertical="center"/>
    </xf>
    <xf numFmtId="0" fontId="18" fillId="0" borderId="1" xfId="0" applyFont="1" applyBorder="1" applyAlignment="1">
      <alignment horizontal="center" vertical="center"/>
    </xf>
    <xf numFmtId="0" fontId="18" fillId="0" borderId="6" xfId="0" applyFont="1" applyBorder="1" applyAlignment="1">
      <alignment horizontal="center" vertical="center"/>
    </xf>
    <xf numFmtId="0" fontId="18" fillId="0" borderId="10" xfId="0" applyFont="1" applyBorder="1" applyAlignment="1">
      <alignment horizontal="center" vertical="center"/>
    </xf>
    <xf numFmtId="0" fontId="18" fillId="0" borderId="11" xfId="0" applyFont="1" applyBorder="1" applyAlignment="1">
      <alignment horizontal="center" vertical="center"/>
    </xf>
    <xf numFmtId="38" fontId="18" fillId="4" borderId="1" xfId="1" applyFont="1" applyFill="1" applyBorder="1">
      <alignment vertical="center"/>
    </xf>
    <xf numFmtId="38" fontId="18" fillId="4" borderId="6" xfId="1" applyFont="1" applyFill="1" applyBorder="1">
      <alignment vertical="center"/>
    </xf>
    <xf numFmtId="38" fontId="18" fillId="4" borderId="10" xfId="1" applyFont="1" applyFill="1" applyBorder="1">
      <alignment vertical="center"/>
    </xf>
    <xf numFmtId="38" fontId="18" fillId="0" borderId="6" xfId="1" applyFont="1" applyBorder="1">
      <alignment vertical="center"/>
    </xf>
    <xf numFmtId="0" fontId="18" fillId="0" borderId="15" xfId="0" applyFont="1" applyBorder="1" applyAlignment="1">
      <alignment vertical="center"/>
    </xf>
    <xf numFmtId="0" fontId="18" fillId="0" borderId="0" xfId="0" applyFont="1" applyBorder="1" applyAlignment="1">
      <alignment vertical="center"/>
    </xf>
    <xf numFmtId="38" fontId="18" fillId="0" borderId="8" xfId="1" applyFont="1" applyFill="1" applyBorder="1">
      <alignment vertical="center"/>
    </xf>
    <xf numFmtId="38" fontId="18" fillId="0" borderId="8" xfId="1" applyFont="1" applyBorder="1">
      <alignment vertical="center"/>
    </xf>
    <xf numFmtId="0" fontId="16" fillId="0" borderId="3" xfId="0" applyFont="1" applyFill="1" applyBorder="1" applyAlignment="1">
      <alignment horizontal="center" vertical="center"/>
    </xf>
    <xf numFmtId="177" fontId="18" fillId="0" borderId="1" xfId="0" applyNumberFormat="1" applyFont="1" applyBorder="1" applyAlignment="1">
      <alignment vertical="center"/>
    </xf>
    <xf numFmtId="10" fontId="18" fillId="0" borderId="13" xfId="0" applyNumberFormat="1" applyFont="1" applyBorder="1" applyAlignment="1">
      <alignment vertical="center"/>
    </xf>
    <xf numFmtId="0" fontId="18" fillId="0" borderId="0" xfId="0" applyFont="1" applyFill="1" applyBorder="1" applyAlignment="1">
      <alignment vertical="center"/>
    </xf>
    <xf numFmtId="0" fontId="18" fillId="0" borderId="12" xfId="0" applyFont="1" applyFill="1" applyBorder="1" applyAlignment="1">
      <alignment vertical="center"/>
    </xf>
    <xf numFmtId="0" fontId="18" fillId="0" borderId="12" xfId="0" applyFont="1" applyBorder="1" applyAlignment="1">
      <alignment vertical="center"/>
    </xf>
    <xf numFmtId="0" fontId="18" fillId="0" borderId="9" xfId="0" applyFont="1" applyBorder="1" applyAlignment="1">
      <alignment horizontal="center" vertical="center"/>
    </xf>
    <xf numFmtId="38" fontId="18" fillId="4" borderId="3" xfId="1" applyFont="1" applyFill="1" applyBorder="1">
      <alignment vertical="center"/>
    </xf>
    <xf numFmtId="38" fontId="18" fillId="4" borderId="8" xfId="1" applyFont="1" applyFill="1" applyBorder="1">
      <alignment vertical="center"/>
    </xf>
    <xf numFmtId="38" fontId="18" fillId="4" borderId="7" xfId="1" applyFont="1" applyFill="1" applyBorder="1">
      <alignment vertical="center"/>
    </xf>
    <xf numFmtId="0" fontId="17" fillId="0" borderId="9" xfId="0" applyFont="1" applyBorder="1" applyAlignment="1">
      <alignment horizontal="center" vertical="center"/>
    </xf>
    <xf numFmtId="0" fontId="18" fillId="0" borderId="3" xfId="0" applyFont="1" applyBorder="1" applyAlignment="1">
      <alignment horizontal="center" vertical="center"/>
    </xf>
    <xf numFmtId="38" fontId="18" fillId="0" borderId="3" xfId="1" applyFont="1" applyBorder="1">
      <alignment vertical="center"/>
    </xf>
    <xf numFmtId="177" fontId="18" fillId="0" borderId="0" xfId="0" applyNumberFormat="1" applyFont="1" applyAlignment="1">
      <alignment horizontal="center" vertical="center"/>
    </xf>
    <xf numFmtId="177" fontId="18" fillId="0" borderId="0" xfId="0" applyNumberFormat="1" applyFont="1" applyAlignment="1">
      <alignment vertical="center"/>
    </xf>
    <xf numFmtId="0" fontId="17" fillId="0" borderId="0" xfId="0" applyFont="1" applyBorder="1" applyAlignment="1">
      <alignment horizontal="center" vertical="center"/>
    </xf>
    <xf numFmtId="38" fontId="18" fillId="4" borderId="0" xfId="1" applyFont="1" applyFill="1">
      <alignment vertical="center"/>
    </xf>
    <xf numFmtId="38" fontId="18" fillId="0" borderId="0" xfId="1" applyFont="1">
      <alignment vertical="center"/>
    </xf>
    <xf numFmtId="177" fontId="18" fillId="0" borderId="0" xfId="14" applyNumberFormat="1" applyFont="1">
      <alignment vertical="center"/>
    </xf>
    <xf numFmtId="0" fontId="18" fillId="0" borderId="0" xfId="0" applyFont="1" applyBorder="1" applyAlignment="1">
      <alignment horizontal="center" vertical="center"/>
    </xf>
    <xf numFmtId="38" fontId="18" fillId="0" borderId="0" xfId="1" applyFont="1" applyBorder="1">
      <alignment vertical="center"/>
    </xf>
    <xf numFmtId="177" fontId="18" fillId="0" borderId="0" xfId="14" applyNumberFormat="1" applyFont="1" applyBorder="1" applyAlignment="1">
      <alignment horizontal="right" vertical="center"/>
    </xf>
    <xf numFmtId="0" fontId="16" fillId="0" borderId="11" xfId="0" applyFont="1" applyBorder="1" applyAlignment="1">
      <alignment horizontal="center" vertical="center"/>
    </xf>
    <xf numFmtId="38" fontId="18" fillId="0" borderId="3" xfId="1" applyFont="1" applyFill="1" applyBorder="1">
      <alignment vertical="center"/>
    </xf>
    <xf numFmtId="38" fontId="18" fillId="0" borderId="13" xfId="1" applyFont="1" applyBorder="1">
      <alignment vertical="center"/>
    </xf>
    <xf numFmtId="38" fontId="18" fillId="0" borderId="14" xfId="1" applyFont="1" applyBorder="1">
      <alignment vertical="center"/>
    </xf>
    <xf numFmtId="176" fontId="18" fillId="4" borderId="3" xfId="1" applyNumberFormat="1" applyFont="1" applyFill="1" applyBorder="1">
      <alignment vertical="center"/>
    </xf>
    <xf numFmtId="176" fontId="18" fillId="4" borderId="8" xfId="1" applyNumberFormat="1" applyFont="1" applyFill="1" applyBorder="1">
      <alignment vertical="center"/>
    </xf>
    <xf numFmtId="176" fontId="18" fillId="4" borderId="7" xfId="1" applyNumberFormat="1" applyFont="1" applyFill="1" applyBorder="1">
      <alignment vertical="center"/>
    </xf>
    <xf numFmtId="176" fontId="18" fillId="4" borderId="1" xfId="1" applyNumberFormat="1" applyFont="1" applyFill="1" applyBorder="1">
      <alignment vertical="center"/>
    </xf>
    <xf numFmtId="38" fontId="18" fillId="3" borderId="0" xfId="1" applyFont="1" applyFill="1">
      <alignment vertical="center"/>
    </xf>
    <xf numFmtId="178" fontId="18" fillId="3" borderId="0" xfId="0" applyNumberFormat="1" applyFont="1" applyFill="1" applyAlignment="1">
      <alignment vertical="center"/>
    </xf>
    <xf numFmtId="177" fontId="18" fillId="0" borderId="0" xfId="0" applyNumberFormat="1" applyFont="1" applyFill="1" applyAlignment="1">
      <alignment vertical="center"/>
    </xf>
    <xf numFmtId="10" fontId="18" fillId="0" borderId="0" xfId="0" applyNumberFormat="1" applyFont="1" applyAlignment="1">
      <alignment vertical="center"/>
    </xf>
    <xf numFmtId="0" fontId="16" fillId="0" borderId="1" xfId="0" applyFont="1" applyBorder="1" applyAlignment="1">
      <alignment horizontal="center" vertical="center"/>
    </xf>
    <xf numFmtId="0" fontId="18" fillId="0" borderId="13" xfId="0" applyFont="1" applyBorder="1" applyAlignment="1">
      <alignment vertical="center"/>
    </xf>
    <xf numFmtId="0" fontId="18" fillId="0" borderId="1" xfId="0" applyFont="1" applyBorder="1" applyAlignment="1">
      <alignment vertical="center"/>
    </xf>
    <xf numFmtId="0" fontId="18" fillId="4" borderId="1" xfId="0" applyFont="1" applyFill="1" applyBorder="1" applyAlignment="1">
      <alignment vertical="center"/>
    </xf>
    <xf numFmtId="0" fontId="18" fillId="0" borderId="14" xfId="0" applyFont="1" applyFill="1" applyBorder="1" applyAlignment="1">
      <alignment vertical="center"/>
    </xf>
    <xf numFmtId="0" fontId="24" fillId="0" borderId="0" xfId="0" applyFont="1" applyFill="1" applyAlignment="1">
      <alignment vertical="center"/>
    </xf>
    <xf numFmtId="0" fontId="25" fillId="0" borderId="0" xfId="0" applyFont="1" applyFill="1" applyAlignment="1">
      <alignment vertical="center"/>
    </xf>
    <xf numFmtId="0" fontId="18" fillId="0" borderId="0" xfId="0" applyFont="1" applyFill="1" applyAlignment="1">
      <alignment horizontal="center" vertical="center"/>
    </xf>
    <xf numFmtId="180" fontId="18" fillId="0" borderId="0" xfId="0" applyNumberFormat="1" applyFont="1" applyFill="1" applyAlignment="1">
      <alignment horizontal="left" vertical="center"/>
    </xf>
    <xf numFmtId="0" fontId="16" fillId="0" borderId="0" xfId="0" applyFont="1" applyFill="1" applyAlignment="1">
      <alignment horizontal="center" vertical="center"/>
    </xf>
    <xf numFmtId="0" fontId="17" fillId="0" borderId="0" xfId="0" applyFont="1" applyFill="1" applyBorder="1" applyAlignment="1">
      <alignment horizontal="center" vertical="center"/>
    </xf>
    <xf numFmtId="0" fontId="16" fillId="0" borderId="0" xfId="0" applyFont="1" applyFill="1" applyAlignment="1">
      <alignment vertical="center"/>
    </xf>
    <xf numFmtId="0" fontId="17" fillId="0" borderId="0" xfId="0" applyFont="1" applyFill="1" applyAlignment="1">
      <alignment vertical="center"/>
    </xf>
    <xf numFmtId="0" fontId="0" fillId="0" borderId="0" xfId="0" applyFont="1" applyFill="1" applyBorder="1" applyAlignment="1">
      <alignment vertical="center"/>
    </xf>
    <xf numFmtId="0" fontId="0" fillId="0" borderId="0" xfId="0" applyFont="1" applyBorder="1" applyAlignment="1">
      <alignment vertical="center"/>
    </xf>
    <xf numFmtId="0" fontId="10" fillId="0" borderId="0" xfId="0" applyFont="1" applyAlignment="1">
      <alignment horizontal="left" vertical="top" wrapText="1"/>
    </xf>
    <xf numFmtId="0" fontId="1" fillId="0" borderId="0" xfId="15" applyFont="1">
      <alignment vertical="center"/>
    </xf>
    <xf numFmtId="0" fontId="22" fillId="3" borderId="0" xfId="15" applyFont="1" applyFill="1">
      <alignment vertical="center"/>
    </xf>
    <xf numFmtId="0" fontId="18" fillId="3" borderId="0" xfId="15" applyFont="1" applyFill="1">
      <alignment vertical="center"/>
    </xf>
    <xf numFmtId="0" fontId="18" fillId="3" borderId="0" xfId="15" applyFont="1" applyFill="1" applyAlignment="1">
      <alignment horizontal="center" vertical="center"/>
    </xf>
    <xf numFmtId="0" fontId="24" fillId="0" borderId="0" xfId="15" applyFont="1">
      <alignment vertical="center"/>
    </xf>
    <xf numFmtId="0" fontId="18" fillId="0" borderId="0" xfId="15" applyFont="1" applyAlignment="1">
      <alignment horizontal="center" vertical="center"/>
    </xf>
    <xf numFmtId="0" fontId="25" fillId="0" borderId="0" xfId="15" applyFont="1">
      <alignment vertical="center"/>
    </xf>
    <xf numFmtId="0" fontId="18" fillId="0" borderId="0" xfId="15" applyFont="1">
      <alignment vertical="center"/>
    </xf>
    <xf numFmtId="0" fontId="18" fillId="0" borderId="0" xfId="15" applyFont="1" applyAlignment="1">
      <alignment horizontal="right" vertical="center"/>
    </xf>
    <xf numFmtId="0" fontId="18" fillId="0" borderId="7" xfId="15" applyFont="1" applyBorder="1">
      <alignment vertical="center"/>
    </xf>
    <xf numFmtId="0" fontId="18" fillId="0" borderId="0" xfId="15" applyFont="1" applyBorder="1" applyAlignment="1">
      <alignment horizontal="center" vertical="center"/>
    </xf>
    <xf numFmtId="180" fontId="18" fillId="0" borderId="0" xfId="15" applyNumberFormat="1" applyFont="1" applyAlignment="1">
      <alignment horizontal="left" vertical="center"/>
    </xf>
    <xf numFmtId="10" fontId="18" fillId="0" borderId="0" xfId="15" applyNumberFormat="1" applyFont="1" applyAlignment="1">
      <alignment horizontal="left" vertical="center"/>
    </xf>
    <xf numFmtId="10" fontId="18" fillId="0" borderId="15" xfId="15" applyNumberFormat="1" applyFont="1" applyBorder="1">
      <alignment vertical="center"/>
    </xf>
    <xf numFmtId="0" fontId="18" fillId="0" borderId="11" xfId="15" applyFont="1" applyBorder="1">
      <alignment vertical="center"/>
    </xf>
    <xf numFmtId="0" fontId="18" fillId="0" borderId="11" xfId="15" applyFont="1" applyBorder="1" applyAlignment="1">
      <alignment horizontal="center" vertical="center"/>
    </xf>
    <xf numFmtId="0" fontId="18" fillId="0" borderId="1" xfId="15" applyFont="1" applyBorder="1" applyAlignment="1">
      <alignment horizontal="center" vertical="center"/>
    </xf>
    <xf numFmtId="0" fontId="18" fillId="0" borderId="6" xfId="15" applyFont="1" applyBorder="1" applyAlignment="1">
      <alignment horizontal="center" vertical="center"/>
    </xf>
    <xf numFmtId="0" fontId="18" fillId="0" borderId="10" xfId="15" applyFont="1" applyBorder="1" applyAlignment="1">
      <alignment horizontal="center" vertical="center"/>
    </xf>
    <xf numFmtId="0" fontId="18" fillId="4" borderId="11" xfId="15" applyFont="1" applyFill="1" applyBorder="1" applyAlignment="1">
      <alignment horizontal="right" vertical="center"/>
    </xf>
    <xf numFmtId="38" fontId="18" fillId="4" borderId="1" xfId="16" applyFont="1" applyFill="1" applyBorder="1">
      <alignment vertical="center"/>
    </xf>
    <xf numFmtId="38" fontId="18" fillId="4" borderId="6" xfId="16" applyFont="1" applyFill="1" applyBorder="1">
      <alignment vertical="center"/>
    </xf>
    <xf numFmtId="38" fontId="18" fillId="4" borderId="10" xfId="16" applyFont="1" applyFill="1" applyBorder="1">
      <alignment vertical="center"/>
    </xf>
    <xf numFmtId="38" fontId="18" fillId="0" borderId="6" xfId="16" applyFont="1" applyBorder="1">
      <alignment vertical="center"/>
    </xf>
    <xf numFmtId="0" fontId="26" fillId="0" borderId="0" xfId="15" applyFont="1" applyAlignment="1">
      <alignment horizontal="center" vertical="center"/>
    </xf>
    <xf numFmtId="0" fontId="18" fillId="0" borderId="15" xfId="15" applyFont="1" applyBorder="1">
      <alignment vertical="center"/>
    </xf>
    <xf numFmtId="0" fontId="18" fillId="0" borderId="0" xfId="15" applyFont="1" applyBorder="1">
      <alignment vertical="center"/>
    </xf>
    <xf numFmtId="0" fontId="17" fillId="0" borderId="9" xfId="15" applyFont="1" applyBorder="1" applyAlignment="1">
      <alignment horizontal="center" vertical="center"/>
    </xf>
    <xf numFmtId="38" fontId="18" fillId="0" borderId="8" xfId="16" applyFont="1" applyFill="1" applyBorder="1">
      <alignment vertical="center"/>
    </xf>
    <xf numFmtId="0" fontId="16" fillId="0" borderId="3" xfId="15" applyFont="1" applyFill="1" applyBorder="1" applyAlignment="1">
      <alignment horizontal="center" vertical="center"/>
    </xf>
    <xf numFmtId="177" fontId="18" fillId="0" borderId="1" xfId="15" applyNumberFormat="1" applyFont="1" applyBorder="1">
      <alignment vertical="center"/>
    </xf>
    <xf numFmtId="10" fontId="18" fillId="0" borderId="13" xfId="15" applyNumberFormat="1" applyFont="1" applyBorder="1">
      <alignment vertical="center"/>
    </xf>
    <xf numFmtId="0" fontId="18" fillId="0" borderId="0" xfId="15" applyFont="1" applyFill="1" applyBorder="1">
      <alignment vertical="center"/>
    </xf>
    <xf numFmtId="0" fontId="18" fillId="0" borderId="12" xfId="15" applyFont="1" applyFill="1" applyBorder="1">
      <alignment vertical="center"/>
    </xf>
    <xf numFmtId="0" fontId="18" fillId="0" borderId="12" xfId="15" applyFont="1" applyBorder="1">
      <alignment vertical="center"/>
    </xf>
    <xf numFmtId="0" fontId="16" fillId="0" borderId="0" xfId="15" applyFont="1" applyAlignment="1">
      <alignment horizontal="center" vertical="center"/>
    </xf>
    <xf numFmtId="0" fontId="18" fillId="0" borderId="9" xfId="15" applyFont="1" applyBorder="1" applyAlignment="1">
      <alignment horizontal="center" vertical="center"/>
    </xf>
    <xf numFmtId="38" fontId="18" fillId="4" borderId="3" xfId="16" applyFont="1" applyFill="1" applyBorder="1">
      <alignment vertical="center"/>
    </xf>
    <xf numFmtId="38" fontId="18" fillId="4" borderId="8" xfId="16" applyFont="1" applyFill="1" applyBorder="1">
      <alignment vertical="center"/>
    </xf>
    <xf numFmtId="38" fontId="18" fillId="4" borderId="7" xfId="16" applyFont="1" applyFill="1" applyBorder="1">
      <alignment vertical="center"/>
    </xf>
    <xf numFmtId="0" fontId="18" fillId="0" borderId="3" xfId="15" applyFont="1" applyBorder="1" applyAlignment="1">
      <alignment horizontal="center" vertical="center"/>
    </xf>
    <xf numFmtId="38" fontId="18" fillId="0" borderId="3" xfId="16" applyFont="1" applyBorder="1">
      <alignment vertical="center"/>
    </xf>
    <xf numFmtId="177" fontId="18" fillId="0" borderId="0" xfId="15" applyNumberFormat="1" applyFont="1" applyAlignment="1">
      <alignment horizontal="center" vertical="center"/>
    </xf>
    <xf numFmtId="177" fontId="18" fillId="0" borderId="0" xfId="15" applyNumberFormat="1" applyFont="1">
      <alignment vertical="center"/>
    </xf>
    <xf numFmtId="0" fontId="17" fillId="0" borderId="0" xfId="15" applyFont="1" applyBorder="1" applyAlignment="1">
      <alignment horizontal="center" vertical="center"/>
    </xf>
    <xf numFmtId="0" fontId="16" fillId="0" borderId="0" xfId="15" applyFont="1">
      <alignment vertical="center"/>
    </xf>
    <xf numFmtId="0" fontId="18" fillId="4" borderId="0" xfId="15" applyFont="1" applyFill="1" applyBorder="1" applyAlignment="1">
      <alignment horizontal="right" vertical="center"/>
    </xf>
    <xf numFmtId="38" fontId="18" fillId="4" borderId="0" xfId="16" applyFont="1" applyFill="1">
      <alignment vertical="center"/>
    </xf>
    <xf numFmtId="38" fontId="18" fillId="0" borderId="0" xfId="16" applyFont="1">
      <alignment vertical="center"/>
    </xf>
    <xf numFmtId="177" fontId="18" fillId="0" borderId="0" xfId="17" applyNumberFormat="1" applyFont="1">
      <alignment vertical="center"/>
    </xf>
    <xf numFmtId="0" fontId="17" fillId="0" borderId="0" xfId="15" applyFont="1">
      <alignment vertical="center"/>
    </xf>
    <xf numFmtId="38" fontId="18" fillId="0" borderId="0" xfId="16" applyFont="1" applyBorder="1">
      <alignment vertical="center"/>
    </xf>
    <xf numFmtId="177" fontId="18" fillId="0" borderId="0" xfId="17" applyNumberFormat="1" applyFont="1" applyBorder="1" applyAlignment="1">
      <alignment horizontal="right" vertical="center"/>
    </xf>
    <xf numFmtId="177" fontId="18" fillId="0" borderId="0" xfId="17" applyNumberFormat="1" applyFont="1" applyBorder="1" applyAlignment="1">
      <alignment horizontal="center" vertical="center"/>
    </xf>
    <xf numFmtId="0" fontId="16" fillId="0" borderId="11" xfId="15" applyFont="1" applyBorder="1" applyAlignment="1">
      <alignment horizontal="center" vertical="center"/>
    </xf>
    <xf numFmtId="38" fontId="18" fillId="4" borderId="1" xfId="16" applyFont="1" applyFill="1" applyBorder="1" applyAlignment="1">
      <alignment horizontal="right" vertical="center"/>
    </xf>
    <xf numFmtId="38" fontId="18" fillId="4" borderId="6" xfId="16" applyFont="1" applyFill="1" applyBorder="1" applyAlignment="1">
      <alignment horizontal="right" vertical="center"/>
    </xf>
    <xf numFmtId="38" fontId="18" fillId="4" borderId="10" xfId="16" applyFont="1" applyFill="1" applyBorder="1" applyAlignment="1">
      <alignment horizontal="right" vertical="center"/>
    </xf>
    <xf numFmtId="38" fontId="18" fillId="0" borderId="3" xfId="16" applyFont="1" applyFill="1" applyBorder="1">
      <alignment vertical="center"/>
    </xf>
    <xf numFmtId="38" fontId="18" fillId="0" borderId="13" xfId="16" applyFont="1" applyBorder="1">
      <alignment vertical="center"/>
    </xf>
    <xf numFmtId="0" fontId="16" fillId="0" borderId="9" xfId="15" applyFont="1" applyBorder="1" applyAlignment="1">
      <alignment horizontal="center" vertical="center"/>
    </xf>
    <xf numFmtId="38" fontId="18" fillId="0" borderId="14" xfId="16" applyFont="1" applyBorder="1">
      <alignment vertical="center"/>
    </xf>
    <xf numFmtId="176" fontId="18" fillId="4" borderId="3" xfId="16" applyNumberFormat="1" applyFont="1" applyFill="1" applyBorder="1">
      <alignment vertical="center"/>
    </xf>
    <xf numFmtId="176" fontId="18" fillId="4" borderId="8" xfId="16" applyNumberFormat="1" applyFont="1" applyFill="1" applyBorder="1">
      <alignment vertical="center"/>
    </xf>
    <xf numFmtId="176" fontId="18" fillId="4" borderId="7" xfId="16" applyNumberFormat="1" applyFont="1" applyFill="1" applyBorder="1">
      <alignment vertical="center"/>
    </xf>
    <xf numFmtId="176" fontId="18" fillId="4" borderId="1" xfId="16" applyNumberFormat="1" applyFont="1" applyFill="1" applyBorder="1">
      <alignment vertical="center"/>
    </xf>
    <xf numFmtId="0" fontId="18" fillId="4" borderId="0" xfId="15" applyFont="1" applyFill="1">
      <alignment vertical="center"/>
    </xf>
    <xf numFmtId="178" fontId="18" fillId="4" borderId="0" xfId="15" applyNumberFormat="1" applyFont="1" applyFill="1">
      <alignment vertical="center"/>
    </xf>
    <xf numFmtId="181" fontId="18" fillId="0" borderId="0" xfId="15" applyNumberFormat="1" applyFont="1" applyFill="1">
      <alignment vertical="center"/>
    </xf>
    <xf numFmtId="10" fontId="18" fillId="0" borderId="0" xfId="15" applyNumberFormat="1" applyFont="1">
      <alignment vertical="center"/>
    </xf>
    <xf numFmtId="0" fontId="16" fillId="0" borderId="1" xfId="15" applyFont="1" applyBorder="1" applyAlignment="1">
      <alignment horizontal="center" vertical="center"/>
    </xf>
    <xf numFmtId="0" fontId="18" fillId="0" borderId="13" xfId="15" applyFont="1" applyBorder="1">
      <alignment vertical="center"/>
    </xf>
    <xf numFmtId="0" fontId="8" fillId="0" borderId="20" xfId="0" applyFont="1" applyBorder="1" applyAlignment="1">
      <alignment horizontal="center" wrapText="1"/>
    </xf>
    <xf numFmtId="181" fontId="8" fillId="0" borderId="16" xfId="0" applyNumberFormat="1" applyFont="1" applyBorder="1" applyAlignment="1">
      <alignment horizontal="center" wrapText="1"/>
    </xf>
    <xf numFmtId="0" fontId="8" fillId="0" borderId="18" xfId="0" applyFont="1" applyBorder="1" applyAlignment="1">
      <alignment horizontal="left"/>
    </xf>
    <xf numFmtId="182" fontId="8" fillId="0" borderId="3" xfId="0" applyNumberFormat="1" applyFont="1" applyBorder="1"/>
    <xf numFmtId="0" fontId="8" fillId="0" borderId="2" xfId="0" applyFont="1" applyBorder="1" applyAlignment="1">
      <alignment horizontal="left"/>
    </xf>
    <xf numFmtId="183" fontId="8" fillId="0" borderId="1" xfId="0" applyNumberFormat="1" applyFont="1" applyBorder="1"/>
    <xf numFmtId="183" fontId="8" fillId="0" borderId="1" xfId="0" applyNumberFormat="1" applyFont="1" applyBorder="1" applyAlignment="1">
      <alignment horizontal="right" wrapText="1"/>
    </xf>
    <xf numFmtId="176" fontId="8" fillId="0" borderId="1" xfId="1" applyNumberFormat="1" applyFont="1" applyFill="1" applyBorder="1" applyAlignment="1"/>
    <xf numFmtId="183" fontId="8" fillId="0" borderId="1" xfId="0" applyNumberFormat="1" applyFont="1" applyFill="1" applyBorder="1" applyAlignment="1">
      <alignment horizontal="right" wrapText="1"/>
    </xf>
    <xf numFmtId="176" fontId="8" fillId="5" borderId="1" xfId="1" applyNumberFormat="1" applyFont="1" applyFill="1" applyBorder="1" applyAlignment="1"/>
    <xf numFmtId="183" fontId="8" fillId="5" borderId="1" xfId="0" applyNumberFormat="1" applyFont="1" applyFill="1" applyBorder="1"/>
    <xf numFmtId="10" fontId="8" fillId="0" borderId="0" xfId="0" applyNumberFormat="1" applyFont="1"/>
    <xf numFmtId="0" fontId="27" fillId="3" borderId="0" xfId="15" applyFont="1" applyFill="1">
      <alignment vertical="center"/>
    </xf>
    <xf numFmtId="0" fontId="28" fillId="0" borderId="0" xfId="15" applyFont="1">
      <alignment vertical="center"/>
    </xf>
    <xf numFmtId="0" fontId="29" fillId="3" borderId="0" xfId="15" applyFont="1" applyFill="1">
      <alignment vertical="center"/>
    </xf>
    <xf numFmtId="0" fontId="29" fillId="4" borderId="11" xfId="15" applyFont="1" applyFill="1" applyBorder="1" applyAlignment="1">
      <alignment horizontal="right" vertical="center"/>
    </xf>
    <xf numFmtId="38" fontId="29" fillId="4" borderId="1" xfId="16" applyFont="1" applyFill="1" applyBorder="1">
      <alignment vertical="center"/>
    </xf>
    <xf numFmtId="38" fontId="29" fillId="4" borderId="6" xfId="16" applyFont="1" applyFill="1" applyBorder="1">
      <alignment vertical="center"/>
    </xf>
    <xf numFmtId="38" fontId="29" fillId="4" borderId="10" xfId="16" applyFont="1" applyFill="1" applyBorder="1">
      <alignment vertical="center"/>
    </xf>
    <xf numFmtId="0" fontId="29" fillId="0" borderId="0" xfId="15" applyFont="1" applyAlignment="1">
      <alignment horizontal="center" vertical="center"/>
    </xf>
    <xf numFmtId="180" fontId="29" fillId="0" borderId="0" xfId="15" applyNumberFormat="1" applyFont="1" applyAlignment="1">
      <alignment horizontal="left" vertical="center"/>
    </xf>
    <xf numFmtId="0" fontId="29" fillId="0" borderId="0" xfId="15" applyFont="1">
      <alignment vertical="center"/>
    </xf>
    <xf numFmtId="0" fontId="29" fillId="0" borderId="0" xfId="15" applyFont="1" applyAlignment="1">
      <alignment horizontal="right" vertical="center"/>
    </xf>
    <xf numFmtId="0" fontId="29" fillId="0" borderId="7" xfId="15" applyFont="1" applyBorder="1">
      <alignment vertical="center"/>
    </xf>
    <xf numFmtId="0" fontId="29" fillId="0" borderId="0" xfId="15" applyFont="1" applyBorder="1" applyAlignment="1">
      <alignment horizontal="center" vertical="center"/>
    </xf>
    <xf numFmtId="10" fontId="29" fillId="0" borderId="15" xfId="15" applyNumberFormat="1" applyFont="1" applyBorder="1">
      <alignment vertical="center"/>
    </xf>
    <xf numFmtId="0" fontId="29" fillId="0" borderId="11" xfId="15" applyFont="1" applyBorder="1">
      <alignment vertical="center"/>
    </xf>
    <xf numFmtId="0" fontId="29" fillId="0" borderId="11" xfId="15" applyFont="1" applyBorder="1" applyAlignment="1">
      <alignment horizontal="center" vertical="center"/>
    </xf>
    <xf numFmtId="0" fontId="29" fillId="0" borderId="1" xfId="15" applyFont="1" applyBorder="1" applyAlignment="1">
      <alignment horizontal="center" vertical="center"/>
    </xf>
    <xf numFmtId="0" fontId="29" fillId="0" borderId="6" xfId="15" applyFont="1" applyBorder="1" applyAlignment="1">
      <alignment horizontal="center" vertical="center"/>
    </xf>
    <xf numFmtId="0" fontId="29" fillId="0" borderId="10" xfId="15" applyFont="1" applyBorder="1" applyAlignment="1">
      <alignment horizontal="center" vertical="center"/>
    </xf>
    <xf numFmtId="38" fontId="29" fillId="0" borderId="6" xfId="16" applyFont="1" applyBorder="1">
      <alignment vertical="center"/>
    </xf>
    <xf numFmtId="0" fontId="29" fillId="0" borderId="15" xfId="15" applyFont="1" applyBorder="1">
      <alignment vertical="center"/>
    </xf>
    <xf numFmtId="0" fontId="29" fillId="0" borderId="0" xfId="15" applyFont="1" applyBorder="1">
      <alignment vertical="center"/>
    </xf>
    <xf numFmtId="38" fontId="29" fillId="0" borderId="8" xfId="16" applyFont="1" applyFill="1" applyBorder="1">
      <alignment vertical="center"/>
    </xf>
    <xf numFmtId="0" fontId="30" fillId="0" borderId="3" xfId="15" applyFont="1" applyFill="1" applyBorder="1" applyAlignment="1">
      <alignment horizontal="center" vertical="center"/>
    </xf>
    <xf numFmtId="177" fontId="29" fillId="0" borderId="1" xfId="15" applyNumberFormat="1" applyFont="1" applyBorder="1">
      <alignment vertical="center"/>
    </xf>
    <xf numFmtId="10" fontId="29" fillId="0" borderId="13" xfId="15" applyNumberFormat="1" applyFont="1" applyBorder="1">
      <alignment vertical="center"/>
    </xf>
    <xf numFmtId="0" fontId="30" fillId="0" borderId="0" xfId="15" applyFont="1" applyAlignment="1">
      <alignment horizontal="center" vertical="center"/>
    </xf>
    <xf numFmtId="0" fontId="31" fillId="0" borderId="0" xfId="15" applyFont="1">
      <alignment vertical="center"/>
    </xf>
    <xf numFmtId="0" fontId="29" fillId="0" borderId="9" xfId="15" applyFont="1" applyBorder="1" applyAlignment="1">
      <alignment horizontal="center" vertical="center"/>
    </xf>
    <xf numFmtId="38" fontId="29" fillId="4" borderId="3" xfId="16" applyFont="1" applyFill="1" applyBorder="1">
      <alignment vertical="center"/>
    </xf>
    <xf numFmtId="38" fontId="29" fillId="4" borderId="8" xfId="16" applyFont="1" applyFill="1" applyBorder="1">
      <alignment vertical="center"/>
    </xf>
    <xf numFmtId="38" fontId="29" fillId="4" borderId="7" xfId="16" applyFont="1" applyFill="1" applyBorder="1">
      <alignment vertical="center"/>
    </xf>
    <xf numFmtId="0" fontId="32" fillId="0" borderId="9" xfId="15" applyFont="1" applyBorder="1" applyAlignment="1">
      <alignment horizontal="center" vertical="center"/>
    </xf>
    <xf numFmtId="0" fontId="29" fillId="0" borderId="3" xfId="15" applyFont="1" applyBorder="1" applyAlignment="1">
      <alignment horizontal="center" vertical="center"/>
    </xf>
    <xf numFmtId="38" fontId="29" fillId="0" borderId="3" xfId="16" applyFont="1" applyBorder="1">
      <alignment vertical="center"/>
    </xf>
    <xf numFmtId="177" fontId="29" fillId="0" borderId="0" xfId="15" applyNumberFormat="1" applyFont="1" applyAlignment="1">
      <alignment horizontal="center" vertical="center"/>
    </xf>
    <xf numFmtId="177" fontId="29" fillId="0" borderId="0" xfId="15" applyNumberFormat="1" applyFont="1">
      <alignment vertical="center"/>
    </xf>
    <xf numFmtId="0" fontId="32" fillId="0" borderId="0" xfId="15" applyFont="1" applyBorder="1" applyAlignment="1">
      <alignment horizontal="center" vertical="center"/>
    </xf>
    <xf numFmtId="177" fontId="29" fillId="0" borderId="0" xfId="15" applyNumberFormat="1" applyFont="1" applyAlignment="1">
      <alignment horizontal="left" vertical="center"/>
    </xf>
    <xf numFmtId="0" fontId="29" fillId="4" borderId="0" xfId="15" applyFont="1" applyFill="1" applyBorder="1" applyAlignment="1">
      <alignment horizontal="right" vertical="center"/>
    </xf>
    <xf numFmtId="38" fontId="29" fillId="4" borderId="0" xfId="16" applyFont="1" applyFill="1">
      <alignment vertical="center"/>
    </xf>
    <xf numFmtId="38" fontId="29" fillId="0" borderId="0" xfId="16" applyFont="1">
      <alignment vertical="center"/>
    </xf>
    <xf numFmtId="177" fontId="29" fillId="0" borderId="0" xfId="17" applyNumberFormat="1" applyFont="1">
      <alignment vertical="center"/>
    </xf>
    <xf numFmtId="0" fontId="32" fillId="0" borderId="0" xfId="15" applyFont="1">
      <alignment vertical="center"/>
    </xf>
    <xf numFmtId="0" fontId="30" fillId="0" borderId="0" xfId="15" applyFont="1">
      <alignment vertical="center"/>
    </xf>
    <xf numFmtId="177" fontId="29" fillId="0" borderId="0" xfId="17" applyNumberFormat="1" applyFont="1" applyBorder="1" applyAlignment="1">
      <alignment horizontal="right" vertical="center"/>
    </xf>
    <xf numFmtId="0" fontId="30" fillId="0" borderId="11" xfId="15" applyFont="1" applyBorder="1" applyAlignment="1">
      <alignment horizontal="center" vertical="center"/>
    </xf>
    <xf numFmtId="38" fontId="29" fillId="4" borderId="1" xfId="16" applyFont="1" applyFill="1" applyBorder="1" applyAlignment="1">
      <alignment horizontal="right" vertical="center"/>
    </xf>
    <xf numFmtId="38" fontId="29" fillId="4" borderId="6" xfId="16" applyFont="1" applyFill="1" applyBorder="1" applyAlignment="1">
      <alignment horizontal="right" vertical="center"/>
    </xf>
    <xf numFmtId="38" fontId="29" fillId="4" borderId="10" xfId="16" applyFont="1" applyFill="1" applyBorder="1" applyAlignment="1">
      <alignment horizontal="right" vertical="center"/>
    </xf>
    <xf numFmtId="38" fontId="29" fillId="0" borderId="3" xfId="16" applyFont="1" applyFill="1" applyBorder="1">
      <alignment vertical="center"/>
    </xf>
    <xf numFmtId="38" fontId="29" fillId="0" borderId="13" xfId="16" applyFont="1" applyBorder="1">
      <alignment vertical="center"/>
    </xf>
    <xf numFmtId="0" fontId="30" fillId="0" borderId="9" xfId="15" applyFont="1" applyBorder="1" applyAlignment="1">
      <alignment horizontal="center" vertical="center"/>
    </xf>
    <xf numFmtId="38" fontId="29" fillId="0" borderId="14" xfId="16" applyFont="1" applyBorder="1">
      <alignment vertical="center"/>
    </xf>
    <xf numFmtId="176" fontId="29" fillId="4" borderId="3" xfId="16" applyNumberFormat="1" applyFont="1" applyFill="1" applyBorder="1">
      <alignment vertical="center"/>
    </xf>
    <xf numFmtId="176" fontId="29" fillId="4" borderId="8" xfId="16" applyNumberFormat="1" applyFont="1" applyFill="1" applyBorder="1">
      <alignment vertical="center"/>
    </xf>
    <xf numFmtId="176" fontId="29" fillId="4" borderId="7" xfId="16" applyNumberFormat="1" applyFont="1" applyFill="1" applyBorder="1">
      <alignment vertical="center"/>
    </xf>
    <xf numFmtId="176" fontId="29" fillId="4" borderId="1" xfId="16" applyNumberFormat="1" applyFont="1" applyFill="1" applyBorder="1">
      <alignment vertical="center"/>
    </xf>
    <xf numFmtId="0" fontId="29" fillId="4" borderId="0" xfId="15" applyFont="1" applyFill="1">
      <alignment vertical="center"/>
    </xf>
    <xf numFmtId="178" fontId="29" fillId="4" borderId="0" xfId="15" applyNumberFormat="1" applyFont="1" applyFill="1">
      <alignment vertical="center"/>
    </xf>
    <xf numFmtId="0" fontId="30" fillId="0" borderId="1" xfId="15" applyFont="1" applyBorder="1" applyAlignment="1">
      <alignment horizontal="center" vertical="center"/>
    </xf>
    <xf numFmtId="0" fontId="29" fillId="0" borderId="13" xfId="15" applyFont="1" applyBorder="1">
      <alignment vertical="center"/>
    </xf>
    <xf numFmtId="177" fontId="29" fillId="0" borderId="0" xfId="14" applyNumberFormat="1" applyFont="1" applyFill="1">
      <alignment vertical="center"/>
    </xf>
    <xf numFmtId="176" fontId="8" fillId="2" borderId="22" xfId="1" applyNumberFormat="1" applyFont="1" applyFill="1" applyBorder="1" applyAlignment="1"/>
    <xf numFmtId="176" fontId="8" fillId="5" borderId="22" xfId="1" applyNumberFormat="1" applyFont="1" applyFill="1" applyBorder="1" applyAlignment="1"/>
    <xf numFmtId="183" fontId="8" fillId="5" borderId="22" xfId="0" applyNumberFormat="1" applyFont="1" applyFill="1" applyBorder="1"/>
    <xf numFmtId="0" fontId="8" fillId="0" borderId="1" xfId="0" applyFont="1" applyBorder="1" applyAlignment="1">
      <alignment horizontal="left"/>
    </xf>
    <xf numFmtId="176" fontId="34" fillId="0" borderId="1" xfId="1" applyNumberFormat="1" applyFont="1" applyBorder="1" applyAlignment="1"/>
    <xf numFmtId="0" fontId="8" fillId="0" borderId="23" xfId="0" applyFont="1" applyBorder="1" applyAlignment="1">
      <alignment horizontal="center"/>
    </xf>
    <xf numFmtId="38" fontId="8" fillId="0" borderId="9" xfId="1" applyFont="1" applyBorder="1" applyAlignment="1"/>
    <xf numFmtId="176" fontId="8" fillId="0" borderId="11" xfId="1" applyNumberFormat="1" applyFont="1" applyBorder="1" applyAlignment="1"/>
    <xf numFmtId="176" fontId="8" fillId="2" borderId="11" xfId="1" applyNumberFormat="1" applyFont="1" applyFill="1" applyBorder="1" applyAlignment="1"/>
    <xf numFmtId="176" fontId="8" fillId="0" borderId="11" xfId="1" applyNumberFormat="1" applyFont="1" applyFill="1" applyBorder="1" applyAlignment="1"/>
    <xf numFmtId="176" fontId="8" fillId="0" borderId="13" xfId="1" applyNumberFormat="1" applyFont="1" applyBorder="1" applyAlignment="1"/>
    <xf numFmtId="176" fontId="34" fillId="0" borderId="1" xfId="1" applyNumberFormat="1" applyFont="1" applyFill="1" applyBorder="1" applyAlignment="1"/>
    <xf numFmtId="0" fontId="29" fillId="3" borderId="0" xfId="15" applyFont="1" applyFill="1" applyAlignment="1">
      <alignment horizontal="center" vertical="center"/>
    </xf>
    <xf numFmtId="0" fontId="35" fillId="0" borderId="0" xfId="15" applyFont="1">
      <alignment vertical="center"/>
    </xf>
    <xf numFmtId="0" fontId="29" fillId="0" borderId="0" xfId="15" applyFont="1" applyFill="1" applyBorder="1">
      <alignment vertical="center"/>
    </xf>
    <xf numFmtId="0" fontId="29" fillId="0" borderId="12" xfId="15" applyFont="1" applyFill="1" applyBorder="1">
      <alignment vertical="center"/>
    </xf>
    <xf numFmtId="0" fontId="29" fillId="0" borderId="12" xfId="15" applyFont="1" applyBorder="1">
      <alignment vertical="center"/>
    </xf>
    <xf numFmtId="38" fontId="29" fillId="0" borderId="0" xfId="16" applyFont="1" applyBorder="1">
      <alignment vertical="center"/>
    </xf>
    <xf numFmtId="38" fontId="29" fillId="4" borderId="0" xfId="15" applyNumberFormat="1" applyFont="1" applyFill="1">
      <alignment vertical="center"/>
    </xf>
    <xf numFmtId="0" fontId="29" fillId="0" borderId="0" xfId="15" applyFont="1" applyFill="1">
      <alignment vertical="center"/>
    </xf>
    <xf numFmtId="181" fontId="29" fillId="0" borderId="0" xfId="15" applyNumberFormat="1" applyFont="1" applyFill="1">
      <alignment vertical="center"/>
    </xf>
    <xf numFmtId="177" fontId="29" fillId="0" borderId="0" xfId="17" applyNumberFormat="1" applyFont="1" applyBorder="1" applyAlignment="1">
      <alignment horizontal="center" vertical="center"/>
    </xf>
    <xf numFmtId="10" fontId="29" fillId="0" borderId="0" xfId="15" applyNumberFormat="1" applyFont="1">
      <alignment vertical="center"/>
    </xf>
    <xf numFmtId="0" fontId="29" fillId="0" borderId="0" xfId="15" applyFont="1" applyBorder="1" applyAlignment="1">
      <alignment horizontal="left" vertical="center"/>
    </xf>
    <xf numFmtId="0" fontId="36" fillId="3" borderId="0" xfId="15" applyFont="1" applyFill="1">
      <alignment vertical="center"/>
    </xf>
    <xf numFmtId="38" fontId="29" fillId="0" borderId="0" xfId="15" applyNumberFormat="1" applyFont="1" applyFill="1">
      <alignment vertical="center"/>
    </xf>
    <xf numFmtId="0" fontId="8" fillId="0" borderId="2" xfId="0" applyFont="1" applyFill="1" applyBorder="1" applyAlignment="1">
      <alignment horizontal="left"/>
    </xf>
    <xf numFmtId="0" fontId="8" fillId="0" borderId="21" xfId="0" applyFont="1" applyFill="1" applyBorder="1" applyAlignment="1">
      <alignment horizontal="left"/>
    </xf>
    <xf numFmtId="38" fontId="34" fillId="0" borderId="3" xfId="1" applyFont="1" applyBorder="1" applyAlignment="1"/>
    <xf numFmtId="0" fontId="8" fillId="0" borderId="0" xfId="0" applyFont="1" applyAlignment="1">
      <alignment horizontal="left" vertical="top" wrapText="1"/>
    </xf>
  </cellXfs>
  <cellStyles count="18">
    <cellStyle name="パーセント" xfId="14" builtinId="5"/>
    <cellStyle name="パーセント 2" xfId="4" xr:uid="{00000000-0005-0000-0000-000001000000}"/>
    <cellStyle name="パーセント 3" xfId="7" xr:uid="{00000000-0005-0000-0000-000002000000}"/>
    <cellStyle name="パーセント 4" xfId="10" xr:uid="{00000000-0005-0000-0000-000003000000}"/>
    <cellStyle name="パーセント 5" xfId="13" xr:uid="{00000000-0005-0000-0000-000004000000}"/>
    <cellStyle name="パーセント 6" xfId="17" xr:uid="{00000000-0005-0000-0000-000005000000}"/>
    <cellStyle name="桁区切り" xfId="1" builtinId="6"/>
    <cellStyle name="桁区切り 2" xfId="3" xr:uid="{00000000-0005-0000-0000-000007000000}"/>
    <cellStyle name="桁区切り 3" xfId="6" xr:uid="{00000000-0005-0000-0000-000008000000}"/>
    <cellStyle name="桁区切り 4" xfId="9" xr:uid="{00000000-0005-0000-0000-000009000000}"/>
    <cellStyle name="桁区切り 5" xfId="12" xr:uid="{00000000-0005-0000-0000-00000A000000}"/>
    <cellStyle name="桁区切り 6" xfId="16" xr:uid="{00000000-0005-0000-0000-00000B000000}"/>
    <cellStyle name="標準" xfId="0" builtinId="0"/>
    <cellStyle name="標準 2" xfId="2" xr:uid="{00000000-0005-0000-0000-00000D000000}"/>
    <cellStyle name="標準 3" xfId="5" xr:uid="{00000000-0005-0000-0000-00000E000000}"/>
    <cellStyle name="標準 4" xfId="8" xr:uid="{00000000-0005-0000-0000-00000F000000}"/>
    <cellStyle name="標準 5" xfId="11" xr:uid="{00000000-0005-0000-0000-000010000000}"/>
    <cellStyle name="標準 6" xfId="15" xr:uid="{00000000-0005-0000-0000-00001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666750</xdr:colOff>
      <xdr:row>31</xdr:row>
      <xdr:rowOff>66675</xdr:rowOff>
    </xdr:from>
    <xdr:to>
      <xdr:col>10</xdr:col>
      <xdr:colOff>9525</xdr:colOff>
      <xdr:row>35</xdr:row>
      <xdr:rowOff>19050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5467350" y="5553075"/>
          <a:ext cx="1400175" cy="638175"/>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685799</xdr:colOff>
      <xdr:row>84</xdr:row>
      <xdr:rowOff>85726</xdr:rowOff>
    </xdr:from>
    <xdr:to>
      <xdr:col>11</xdr:col>
      <xdr:colOff>19050</xdr:colOff>
      <xdr:row>87</xdr:row>
      <xdr:rowOff>104776</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6857999" y="14658976"/>
          <a:ext cx="704851" cy="533400"/>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504825</xdr:colOff>
      <xdr:row>127</xdr:row>
      <xdr:rowOff>0</xdr:rowOff>
    </xdr:from>
    <xdr:to>
      <xdr:col>10</xdr:col>
      <xdr:colOff>266700</xdr:colOff>
      <xdr:row>135</xdr:row>
      <xdr:rowOff>0</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3248025" y="21945600"/>
          <a:ext cx="3876675" cy="1371600"/>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0</xdr:colOff>
      <xdr:row>27</xdr:row>
      <xdr:rowOff>146050</xdr:rowOff>
    </xdr:from>
    <xdr:to>
      <xdr:col>11</xdr:col>
      <xdr:colOff>9525</xdr:colOff>
      <xdr:row>30</xdr:row>
      <xdr:rowOff>44450</xdr:rowOff>
    </xdr:to>
    <xdr:sp macro="" textlink="">
      <xdr:nvSpPr>
        <xdr:cNvPr id="2" name="角丸四角形 1">
          <a:extLst>
            <a:ext uri="{FF2B5EF4-FFF2-40B4-BE49-F238E27FC236}">
              <a16:creationId xmlns:a16="http://schemas.microsoft.com/office/drawing/2014/main" id="{00000000-0008-0000-0900-000002000000}"/>
            </a:ext>
          </a:extLst>
        </xdr:cNvPr>
        <xdr:cNvSpPr/>
      </xdr:nvSpPr>
      <xdr:spPr>
        <a:xfrm>
          <a:off x="6238875" y="6384925"/>
          <a:ext cx="1381125" cy="612775"/>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685799</xdr:colOff>
      <xdr:row>139</xdr:row>
      <xdr:rowOff>85726</xdr:rowOff>
    </xdr:from>
    <xdr:to>
      <xdr:col>12</xdr:col>
      <xdr:colOff>19050</xdr:colOff>
      <xdr:row>142</xdr:row>
      <xdr:rowOff>104776</xdr:rowOff>
    </xdr:to>
    <xdr:sp macro="" textlink="">
      <xdr:nvSpPr>
        <xdr:cNvPr id="3" name="角丸四角形 2">
          <a:extLst>
            <a:ext uri="{FF2B5EF4-FFF2-40B4-BE49-F238E27FC236}">
              <a16:creationId xmlns:a16="http://schemas.microsoft.com/office/drawing/2014/main" id="{00000000-0008-0000-0900-000003000000}"/>
            </a:ext>
          </a:extLst>
        </xdr:cNvPr>
        <xdr:cNvSpPr/>
      </xdr:nvSpPr>
      <xdr:spPr>
        <a:xfrm>
          <a:off x="7610474" y="19812001"/>
          <a:ext cx="704851" cy="733425"/>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485775</xdr:colOff>
      <xdr:row>157</xdr:row>
      <xdr:rowOff>0</xdr:rowOff>
    </xdr:from>
    <xdr:to>
      <xdr:col>12</xdr:col>
      <xdr:colOff>247650</xdr:colOff>
      <xdr:row>165</xdr:row>
      <xdr:rowOff>0</xdr:rowOff>
    </xdr:to>
    <xdr:sp macro="" textlink="">
      <xdr:nvSpPr>
        <xdr:cNvPr id="4" name="角丸四角形 3">
          <a:extLst>
            <a:ext uri="{FF2B5EF4-FFF2-40B4-BE49-F238E27FC236}">
              <a16:creationId xmlns:a16="http://schemas.microsoft.com/office/drawing/2014/main" id="{00000000-0008-0000-0900-000004000000}"/>
            </a:ext>
          </a:extLst>
        </xdr:cNvPr>
        <xdr:cNvSpPr/>
      </xdr:nvSpPr>
      <xdr:spPr>
        <a:xfrm>
          <a:off x="3914775" y="23060025"/>
          <a:ext cx="4629150" cy="1905000"/>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533399</xdr:colOff>
      <xdr:row>120</xdr:row>
      <xdr:rowOff>209551</xdr:rowOff>
    </xdr:from>
    <xdr:to>
      <xdr:col>12</xdr:col>
      <xdr:colOff>571500</xdr:colOff>
      <xdr:row>125</xdr:row>
      <xdr:rowOff>85725</xdr:rowOff>
    </xdr:to>
    <xdr:sp macro="" textlink="">
      <xdr:nvSpPr>
        <xdr:cNvPr id="6" name="角丸四角形 5">
          <a:extLst>
            <a:ext uri="{FF2B5EF4-FFF2-40B4-BE49-F238E27FC236}">
              <a16:creationId xmlns:a16="http://schemas.microsoft.com/office/drawing/2014/main" id="{00000000-0008-0000-0900-000006000000}"/>
            </a:ext>
          </a:extLst>
        </xdr:cNvPr>
        <xdr:cNvSpPr/>
      </xdr:nvSpPr>
      <xdr:spPr>
        <a:xfrm>
          <a:off x="4714874" y="27727276"/>
          <a:ext cx="4152901" cy="1066799"/>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57149</xdr:colOff>
      <xdr:row>142</xdr:row>
      <xdr:rowOff>193676</xdr:rowOff>
    </xdr:from>
    <xdr:to>
      <xdr:col>11</xdr:col>
      <xdr:colOff>619125</xdr:colOff>
      <xdr:row>145</xdr:row>
      <xdr:rowOff>127000</xdr:rowOff>
    </xdr:to>
    <xdr:sp macro="" textlink="">
      <xdr:nvSpPr>
        <xdr:cNvPr id="8" name="角丸四角形 7">
          <a:extLst>
            <a:ext uri="{FF2B5EF4-FFF2-40B4-BE49-F238E27FC236}">
              <a16:creationId xmlns:a16="http://schemas.microsoft.com/office/drawing/2014/main" id="{00000000-0008-0000-0900-000008000000}"/>
            </a:ext>
          </a:extLst>
        </xdr:cNvPr>
        <xdr:cNvSpPr/>
      </xdr:nvSpPr>
      <xdr:spPr>
        <a:xfrm>
          <a:off x="5184774" y="32912051"/>
          <a:ext cx="3292476" cy="647699"/>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0</xdr:colOff>
      <xdr:row>27</xdr:row>
      <xdr:rowOff>146050</xdr:rowOff>
    </xdr:from>
    <xdr:to>
      <xdr:col>11</xdr:col>
      <xdr:colOff>9525</xdr:colOff>
      <xdr:row>30</xdr:row>
      <xdr:rowOff>44450</xdr:rowOff>
    </xdr:to>
    <xdr:sp macro="" textlink="">
      <xdr:nvSpPr>
        <xdr:cNvPr id="2" name="角丸四角形 1">
          <a:extLst>
            <a:ext uri="{FF2B5EF4-FFF2-40B4-BE49-F238E27FC236}">
              <a16:creationId xmlns:a16="http://schemas.microsoft.com/office/drawing/2014/main" id="{AE093DDA-494E-4E86-A5E1-D24C931D8FE9}"/>
            </a:ext>
          </a:extLst>
        </xdr:cNvPr>
        <xdr:cNvSpPr/>
      </xdr:nvSpPr>
      <xdr:spPr>
        <a:xfrm>
          <a:off x="6524625" y="6308725"/>
          <a:ext cx="1381125" cy="612775"/>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685799</xdr:colOff>
      <xdr:row>139</xdr:row>
      <xdr:rowOff>85726</xdr:rowOff>
    </xdr:from>
    <xdr:to>
      <xdr:col>12</xdr:col>
      <xdr:colOff>19050</xdr:colOff>
      <xdr:row>142</xdr:row>
      <xdr:rowOff>104776</xdr:rowOff>
    </xdr:to>
    <xdr:sp macro="" textlink="">
      <xdr:nvSpPr>
        <xdr:cNvPr id="3" name="角丸四角形 2">
          <a:extLst>
            <a:ext uri="{FF2B5EF4-FFF2-40B4-BE49-F238E27FC236}">
              <a16:creationId xmlns:a16="http://schemas.microsoft.com/office/drawing/2014/main" id="{4604C4EB-4FFB-47EA-B9E6-541BAF559A12}"/>
            </a:ext>
          </a:extLst>
        </xdr:cNvPr>
        <xdr:cNvSpPr/>
      </xdr:nvSpPr>
      <xdr:spPr>
        <a:xfrm>
          <a:off x="7896224" y="32813626"/>
          <a:ext cx="704851" cy="733425"/>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485775</xdr:colOff>
      <xdr:row>157</xdr:row>
      <xdr:rowOff>0</xdr:rowOff>
    </xdr:from>
    <xdr:to>
      <xdr:col>12</xdr:col>
      <xdr:colOff>247650</xdr:colOff>
      <xdr:row>165</xdr:row>
      <xdr:rowOff>0</xdr:rowOff>
    </xdr:to>
    <xdr:sp macro="" textlink="">
      <xdr:nvSpPr>
        <xdr:cNvPr id="4" name="角丸四角形 3">
          <a:extLst>
            <a:ext uri="{FF2B5EF4-FFF2-40B4-BE49-F238E27FC236}">
              <a16:creationId xmlns:a16="http://schemas.microsoft.com/office/drawing/2014/main" id="{1CEB7F42-EF0B-4B30-9204-EA4160B13EEA}"/>
            </a:ext>
          </a:extLst>
        </xdr:cNvPr>
        <xdr:cNvSpPr/>
      </xdr:nvSpPr>
      <xdr:spPr>
        <a:xfrm>
          <a:off x="4200525" y="36880800"/>
          <a:ext cx="4629150" cy="1905000"/>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533399</xdr:colOff>
      <xdr:row>120</xdr:row>
      <xdr:rowOff>209551</xdr:rowOff>
    </xdr:from>
    <xdr:to>
      <xdr:col>12</xdr:col>
      <xdr:colOff>571500</xdr:colOff>
      <xdr:row>125</xdr:row>
      <xdr:rowOff>85725</xdr:rowOff>
    </xdr:to>
    <xdr:sp macro="" textlink="">
      <xdr:nvSpPr>
        <xdr:cNvPr id="5" name="角丸四角形 5">
          <a:extLst>
            <a:ext uri="{FF2B5EF4-FFF2-40B4-BE49-F238E27FC236}">
              <a16:creationId xmlns:a16="http://schemas.microsoft.com/office/drawing/2014/main" id="{3477A82A-2BAF-40B7-9A7F-B9C7AC6F1E9B}"/>
            </a:ext>
          </a:extLst>
        </xdr:cNvPr>
        <xdr:cNvSpPr/>
      </xdr:nvSpPr>
      <xdr:spPr>
        <a:xfrm>
          <a:off x="5000624" y="28441651"/>
          <a:ext cx="4152901" cy="1066799"/>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57149</xdr:colOff>
      <xdr:row>142</xdr:row>
      <xdr:rowOff>193676</xdr:rowOff>
    </xdr:from>
    <xdr:to>
      <xdr:col>11</xdr:col>
      <xdr:colOff>619125</xdr:colOff>
      <xdr:row>145</xdr:row>
      <xdr:rowOff>127000</xdr:rowOff>
    </xdr:to>
    <xdr:sp macro="" textlink="">
      <xdr:nvSpPr>
        <xdr:cNvPr id="6" name="角丸四角形 7">
          <a:extLst>
            <a:ext uri="{FF2B5EF4-FFF2-40B4-BE49-F238E27FC236}">
              <a16:creationId xmlns:a16="http://schemas.microsoft.com/office/drawing/2014/main" id="{939554EF-F21F-4F00-A6CF-1D5FCC2B01E1}"/>
            </a:ext>
          </a:extLst>
        </xdr:cNvPr>
        <xdr:cNvSpPr/>
      </xdr:nvSpPr>
      <xdr:spPr>
        <a:xfrm>
          <a:off x="5210174" y="33635951"/>
          <a:ext cx="3305176" cy="647699"/>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666750</xdr:colOff>
      <xdr:row>31</xdr:row>
      <xdr:rowOff>66675</xdr:rowOff>
    </xdr:from>
    <xdr:to>
      <xdr:col>10</xdr:col>
      <xdr:colOff>9525</xdr:colOff>
      <xdr:row>35</xdr:row>
      <xdr:rowOff>19050</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5467350" y="5381625"/>
          <a:ext cx="1400175" cy="638175"/>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685799</xdr:colOff>
      <xdr:row>81</xdr:row>
      <xdr:rowOff>85726</xdr:rowOff>
    </xdr:from>
    <xdr:to>
      <xdr:col>11</xdr:col>
      <xdr:colOff>19050</xdr:colOff>
      <xdr:row>84</xdr:row>
      <xdr:rowOff>104776</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6857999" y="14830426"/>
          <a:ext cx="704851" cy="533400"/>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504825</xdr:colOff>
      <xdr:row>124</xdr:row>
      <xdr:rowOff>0</xdr:rowOff>
    </xdr:from>
    <xdr:to>
      <xdr:col>10</xdr:col>
      <xdr:colOff>266700</xdr:colOff>
      <xdr:row>132</xdr:row>
      <xdr:rowOff>0</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3248025" y="22117050"/>
          <a:ext cx="3876675" cy="1371600"/>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666750</xdr:colOff>
      <xdr:row>31</xdr:row>
      <xdr:rowOff>66675</xdr:rowOff>
    </xdr:from>
    <xdr:to>
      <xdr:col>10</xdr:col>
      <xdr:colOff>9525</xdr:colOff>
      <xdr:row>35</xdr:row>
      <xdr:rowOff>19050</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5467350" y="5381625"/>
          <a:ext cx="1400175" cy="638175"/>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685799</xdr:colOff>
      <xdr:row>86</xdr:row>
      <xdr:rowOff>85726</xdr:rowOff>
    </xdr:from>
    <xdr:to>
      <xdr:col>11</xdr:col>
      <xdr:colOff>19050</xdr:colOff>
      <xdr:row>89</xdr:row>
      <xdr:rowOff>104776</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6857999" y="14830426"/>
          <a:ext cx="704851" cy="533400"/>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504825</xdr:colOff>
      <xdr:row>129</xdr:row>
      <xdr:rowOff>0</xdr:rowOff>
    </xdr:from>
    <xdr:to>
      <xdr:col>10</xdr:col>
      <xdr:colOff>266700</xdr:colOff>
      <xdr:row>137</xdr:row>
      <xdr:rowOff>0</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3248025" y="22117050"/>
          <a:ext cx="3876675" cy="1371600"/>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666750</xdr:colOff>
      <xdr:row>31</xdr:row>
      <xdr:rowOff>66675</xdr:rowOff>
    </xdr:from>
    <xdr:to>
      <xdr:col>10</xdr:col>
      <xdr:colOff>9525</xdr:colOff>
      <xdr:row>35</xdr:row>
      <xdr:rowOff>19050</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5467350" y="5381625"/>
          <a:ext cx="1400175" cy="638175"/>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685799</xdr:colOff>
      <xdr:row>81</xdr:row>
      <xdr:rowOff>85726</xdr:rowOff>
    </xdr:from>
    <xdr:to>
      <xdr:col>11</xdr:col>
      <xdr:colOff>19050</xdr:colOff>
      <xdr:row>84</xdr:row>
      <xdr:rowOff>104776</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6857999" y="14830426"/>
          <a:ext cx="704851" cy="533400"/>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504825</xdr:colOff>
      <xdr:row>124</xdr:row>
      <xdr:rowOff>0</xdr:rowOff>
    </xdr:from>
    <xdr:to>
      <xdr:col>10</xdr:col>
      <xdr:colOff>266700</xdr:colOff>
      <xdr:row>132</xdr:row>
      <xdr:rowOff>0</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3248025" y="22117050"/>
          <a:ext cx="3876675" cy="1371600"/>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666750</xdr:colOff>
      <xdr:row>31</xdr:row>
      <xdr:rowOff>66675</xdr:rowOff>
    </xdr:from>
    <xdr:to>
      <xdr:col>10</xdr:col>
      <xdr:colOff>9525</xdr:colOff>
      <xdr:row>35</xdr:row>
      <xdr:rowOff>19050</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5467350" y="7448550"/>
          <a:ext cx="1400175" cy="904875"/>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685799</xdr:colOff>
      <xdr:row>93</xdr:row>
      <xdr:rowOff>85726</xdr:rowOff>
    </xdr:from>
    <xdr:to>
      <xdr:col>11</xdr:col>
      <xdr:colOff>19050</xdr:colOff>
      <xdr:row>96</xdr:row>
      <xdr:rowOff>104776</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6857999" y="22231351"/>
          <a:ext cx="704851" cy="733425"/>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485775</xdr:colOff>
      <xdr:row>109</xdr:row>
      <xdr:rowOff>0</xdr:rowOff>
    </xdr:from>
    <xdr:to>
      <xdr:col>11</xdr:col>
      <xdr:colOff>247650</xdr:colOff>
      <xdr:row>117</xdr:row>
      <xdr:rowOff>0</xdr:rowOff>
    </xdr:to>
    <xdr:sp macro="" textlink="">
      <xdr:nvSpPr>
        <xdr:cNvPr id="4" name="角丸四角形 3">
          <a:extLst>
            <a:ext uri="{FF2B5EF4-FFF2-40B4-BE49-F238E27FC236}">
              <a16:creationId xmlns:a16="http://schemas.microsoft.com/office/drawing/2014/main" id="{00000000-0008-0000-0400-000004000000}"/>
            </a:ext>
          </a:extLst>
        </xdr:cNvPr>
        <xdr:cNvSpPr/>
      </xdr:nvSpPr>
      <xdr:spPr>
        <a:xfrm>
          <a:off x="3914775" y="25955625"/>
          <a:ext cx="3876675" cy="1905000"/>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666750</xdr:colOff>
      <xdr:row>27</xdr:row>
      <xdr:rowOff>66675</xdr:rowOff>
    </xdr:from>
    <xdr:to>
      <xdr:col>10</xdr:col>
      <xdr:colOff>9525</xdr:colOff>
      <xdr:row>31</xdr:row>
      <xdr:rowOff>19050</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5467350" y="4695825"/>
          <a:ext cx="1400175" cy="638175"/>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685799</xdr:colOff>
      <xdr:row>86</xdr:row>
      <xdr:rowOff>85726</xdr:rowOff>
    </xdr:from>
    <xdr:to>
      <xdr:col>11</xdr:col>
      <xdr:colOff>19050</xdr:colOff>
      <xdr:row>89</xdr:row>
      <xdr:rowOff>104776</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a:xfrm>
          <a:off x="6857999" y="14830426"/>
          <a:ext cx="704851" cy="533400"/>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485775</xdr:colOff>
      <xdr:row>101</xdr:row>
      <xdr:rowOff>0</xdr:rowOff>
    </xdr:from>
    <xdr:to>
      <xdr:col>11</xdr:col>
      <xdr:colOff>247650</xdr:colOff>
      <xdr:row>109</xdr:row>
      <xdr:rowOff>0</xdr:rowOff>
    </xdr:to>
    <xdr:sp macro="" textlink="">
      <xdr:nvSpPr>
        <xdr:cNvPr id="4" name="角丸四角形 3">
          <a:extLst>
            <a:ext uri="{FF2B5EF4-FFF2-40B4-BE49-F238E27FC236}">
              <a16:creationId xmlns:a16="http://schemas.microsoft.com/office/drawing/2014/main" id="{00000000-0008-0000-0500-000004000000}"/>
            </a:ext>
          </a:extLst>
        </xdr:cNvPr>
        <xdr:cNvSpPr/>
      </xdr:nvSpPr>
      <xdr:spPr>
        <a:xfrm>
          <a:off x="3914775" y="17316450"/>
          <a:ext cx="3876675" cy="1371600"/>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742950</xdr:colOff>
      <xdr:row>68</xdr:row>
      <xdr:rowOff>0</xdr:rowOff>
    </xdr:from>
    <xdr:to>
      <xdr:col>7</xdr:col>
      <xdr:colOff>0</xdr:colOff>
      <xdr:row>72</xdr:row>
      <xdr:rowOff>28575</xdr:rowOff>
    </xdr:to>
    <xdr:sp macro="" textlink="">
      <xdr:nvSpPr>
        <xdr:cNvPr id="5" name="角丸四角形 4">
          <a:extLst>
            <a:ext uri="{FF2B5EF4-FFF2-40B4-BE49-F238E27FC236}">
              <a16:creationId xmlns:a16="http://schemas.microsoft.com/office/drawing/2014/main" id="{00000000-0008-0000-0500-000005000000}"/>
            </a:ext>
          </a:extLst>
        </xdr:cNvPr>
        <xdr:cNvSpPr/>
      </xdr:nvSpPr>
      <xdr:spPr>
        <a:xfrm>
          <a:off x="4114800" y="11658600"/>
          <a:ext cx="685800" cy="714375"/>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666750</xdr:colOff>
      <xdr:row>27</xdr:row>
      <xdr:rowOff>66675</xdr:rowOff>
    </xdr:from>
    <xdr:to>
      <xdr:col>10</xdr:col>
      <xdr:colOff>9525</xdr:colOff>
      <xdr:row>31</xdr:row>
      <xdr:rowOff>19050</xdr:rowOff>
    </xdr:to>
    <xdr:sp macro="" textlink="">
      <xdr:nvSpPr>
        <xdr:cNvPr id="2" name="角丸四角形 1">
          <a:extLst>
            <a:ext uri="{FF2B5EF4-FFF2-40B4-BE49-F238E27FC236}">
              <a16:creationId xmlns:a16="http://schemas.microsoft.com/office/drawing/2014/main" id="{00000000-0008-0000-0600-000002000000}"/>
            </a:ext>
          </a:extLst>
        </xdr:cNvPr>
        <xdr:cNvSpPr/>
      </xdr:nvSpPr>
      <xdr:spPr>
        <a:xfrm>
          <a:off x="5534025" y="4933950"/>
          <a:ext cx="1400175" cy="638175"/>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685799</xdr:colOff>
      <xdr:row>86</xdr:row>
      <xdr:rowOff>85726</xdr:rowOff>
    </xdr:from>
    <xdr:to>
      <xdr:col>11</xdr:col>
      <xdr:colOff>19050</xdr:colOff>
      <xdr:row>89</xdr:row>
      <xdr:rowOff>104776</xdr:rowOff>
    </xdr:to>
    <xdr:sp macro="" textlink="">
      <xdr:nvSpPr>
        <xdr:cNvPr id="3" name="角丸四角形 2">
          <a:extLst>
            <a:ext uri="{FF2B5EF4-FFF2-40B4-BE49-F238E27FC236}">
              <a16:creationId xmlns:a16="http://schemas.microsoft.com/office/drawing/2014/main" id="{00000000-0008-0000-0600-000003000000}"/>
            </a:ext>
          </a:extLst>
        </xdr:cNvPr>
        <xdr:cNvSpPr/>
      </xdr:nvSpPr>
      <xdr:spPr>
        <a:xfrm>
          <a:off x="6924674" y="14839951"/>
          <a:ext cx="704851" cy="533400"/>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485775</xdr:colOff>
      <xdr:row>101</xdr:row>
      <xdr:rowOff>0</xdr:rowOff>
    </xdr:from>
    <xdr:to>
      <xdr:col>11</xdr:col>
      <xdr:colOff>247650</xdr:colOff>
      <xdr:row>109</xdr:row>
      <xdr:rowOff>0</xdr:rowOff>
    </xdr:to>
    <xdr:sp macro="" textlink="">
      <xdr:nvSpPr>
        <xdr:cNvPr id="4" name="角丸四角形 3">
          <a:extLst>
            <a:ext uri="{FF2B5EF4-FFF2-40B4-BE49-F238E27FC236}">
              <a16:creationId xmlns:a16="http://schemas.microsoft.com/office/drawing/2014/main" id="{00000000-0008-0000-0600-000004000000}"/>
            </a:ext>
          </a:extLst>
        </xdr:cNvPr>
        <xdr:cNvSpPr/>
      </xdr:nvSpPr>
      <xdr:spPr>
        <a:xfrm>
          <a:off x="3914775" y="17287875"/>
          <a:ext cx="3943350" cy="1371600"/>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742950</xdr:colOff>
      <xdr:row>68</xdr:row>
      <xdr:rowOff>0</xdr:rowOff>
    </xdr:from>
    <xdr:to>
      <xdr:col>7</xdr:col>
      <xdr:colOff>0</xdr:colOff>
      <xdr:row>72</xdr:row>
      <xdr:rowOff>28575</xdr:rowOff>
    </xdr:to>
    <xdr:sp macro="" textlink="">
      <xdr:nvSpPr>
        <xdr:cNvPr id="5" name="角丸四角形 4">
          <a:extLst>
            <a:ext uri="{FF2B5EF4-FFF2-40B4-BE49-F238E27FC236}">
              <a16:creationId xmlns:a16="http://schemas.microsoft.com/office/drawing/2014/main" id="{00000000-0008-0000-0600-000005000000}"/>
            </a:ext>
          </a:extLst>
        </xdr:cNvPr>
        <xdr:cNvSpPr/>
      </xdr:nvSpPr>
      <xdr:spPr>
        <a:xfrm>
          <a:off x="4171950" y="11725275"/>
          <a:ext cx="695325" cy="714375"/>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666750</xdr:colOff>
      <xdr:row>27</xdr:row>
      <xdr:rowOff>66675</xdr:rowOff>
    </xdr:from>
    <xdr:to>
      <xdr:col>10</xdr:col>
      <xdr:colOff>9525</xdr:colOff>
      <xdr:row>31</xdr:row>
      <xdr:rowOff>19050</xdr:rowOff>
    </xdr:to>
    <xdr:sp macro="" textlink="">
      <xdr:nvSpPr>
        <xdr:cNvPr id="6" name="角丸四角形 5">
          <a:extLst>
            <a:ext uri="{FF2B5EF4-FFF2-40B4-BE49-F238E27FC236}">
              <a16:creationId xmlns:a16="http://schemas.microsoft.com/office/drawing/2014/main" id="{00000000-0008-0000-0700-000006000000}"/>
            </a:ext>
          </a:extLst>
        </xdr:cNvPr>
        <xdr:cNvSpPr/>
      </xdr:nvSpPr>
      <xdr:spPr>
        <a:xfrm>
          <a:off x="5534025" y="4933950"/>
          <a:ext cx="1400175" cy="638175"/>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742950</xdr:colOff>
      <xdr:row>68</xdr:row>
      <xdr:rowOff>0</xdr:rowOff>
    </xdr:from>
    <xdr:to>
      <xdr:col>7</xdr:col>
      <xdr:colOff>0</xdr:colOff>
      <xdr:row>72</xdr:row>
      <xdr:rowOff>28575</xdr:rowOff>
    </xdr:to>
    <xdr:sp macro="" textlink="">
      <xdr:nvSpPr>
        <xdr:cNvPr id="9" name="角丸四角形 8">
          <a:extLst>
            <a:ext uri="{FF2B5EF4-FFF2-40B4-BE49-F238E27FC236}">
              <a16:creationId xmlns:a16="http://schemas.microsoft.com/office/drawing/2014/main" id="{00000000-0008-0000-0700-000009000000}"/>
            </a:ext>
          </a:extLst>
        </xdr:cNvPr>
        <xdr:cNvSpPr/>
      </xdr:nvSpPr>
      <xdr:spPr>
        <a:xfrm>
          <a:off x="4171950" y="11725275"/>
          <a:ext cx="695325" cy="714375"/>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666750</xdr:colOff>
      <xdr:row>27</xdr:row>
      <xdr:rowOff>66675</xdr:rowOff>
    </xdr:from>
    <xdr:to>
      <xdr:col>10</xdr:col>
      <xdr:colOff>9525</xdr:colOff>
      <xdr:row>31</xdr:row>
      <xdr:rowOff>19050</xdr:rowOff>
    </xdr:to>
    <xdr:sp macro="" textlink="">
      <xdr:nvSpPr>
        <xdr:cNvPr id="10" name="角丸四角形 9">
          <a:extLst>
            <a:ext uri="{FF2B5EF4-FFF2-40B4-BE49-F238E27FC236}">
              <a16:creationId xmlns:a16="http://schemas.microsoft.com/office/drawing/2014/main" id="{00000000-0008-0000-0700-00000A000000}"/>
            </a:ext>
          </a:extLst>
        </xdr:cNvPr>
        <xdr:cNvSpPr/>
      </xdr:nvSpPr>
      <xdr:spPr>
        <a:xfrm>
          <a:off x="5534025" y="4933950"/>
          <a:ext cx="1400175" cy="638175"/>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742950</xdr:colOff>
      <xdr:row>68</xdr:row>
      <xdr:rowOff>0</xdr:rowOff>
    </xdr:from>
    <xdr:to>
      <xdr:col>7</xdr:col>
      <xdr:colOff>0</xdr:colOff>
      <xdr:row>72</xdr:row>
      <xdr:rowOff>28575</xdr:rowOff>
    </xdr:to>
    <xdr:sp macro="" textlink="">
      <xdr:nvSpPr>
        <xdr:cNvPr id="13" name="角丸四角形 12">
          <a:extLst>
            <a:ext uri="{FF2B5EF4-FFF2-40B4-BE49-F238E27FC236}">
              <a16:creationId xmlns:a16="http://schemas.microsoft.com/office/drawing/2014/main" id="{00000000-0008-0000-0700-00000D000000}"/>
            </a:ext>
          </a:extLst>
        </xdr:cNvPr>
        <xdr:cNvSpPr/>
      </xdr:nvSpPr>
      <xdr:spPr>
        <a:xfrm>
          <a:off x="4171950" y="11725275"/>
          <a:ext cx="695325" cy="714375"/>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666750</xdr:colOff>
      <xdr:row>27</xdr:row>
      <xdr:rowOff>66675</xdr:rowOff>
    </xdr:from>
    <xdr:to>
      <xdr:col>10</xdr:col>
      <xdr:colOff>9525</xdr:colOff>
      <xdr:row>31</xdr:row>
      <xdr:rowOff>19050</xdr:rowOff>
    </xdr:to>
    <xdr:sp macro="" textlink="">
      <xdr:nvSpPr>
        <xdr:cNvPr id="14" name="角丸四角形 13">
          <a:extLst>
            <a:ext uri="{FF2B5EF4-FFF2-40B4-BE49-F238E27FC236}">
              <a16:creationId xmlns:a16="http://schemas.microsoft.com/office/drawing/2014/main" id="{00000000-0008-0000-0700-00000E000000}"/>
            </a:ext>
          </a:extLst>
        </xdr:cNvPr>
        <xdr:cNvSpPr/>
      </xdr:nvSpPr>
      <xdr:spPr>
        <a:xfrm>
          <a:off x="5648325" y="6067425"/>
          <a:ext cx="1400175" cy="904875"/>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685799</xdr:colOff>
      <xdr:row>87</xdr:row>
      <xdr:rowOff>85726</xdr:rowOff>
    </xdr:from>
    <xdr:to>
      <xdr:col>11</xdr:col>
      <xdr:colOff>19050</xdr:colOff>
      <xdr:row>90</xdr:row>
      <xdr:rowOff>104776</xdr:rowOff>
    </xdr:to>
    <xdr:sp macro="" textlink="">
      <xdr:nvSpPr>
        <xdr:cNvPr id="15" name="角丸四角形 14">
          <a:extLst>
            <a:ext uri="{FF2B5EF4-FFF2-40B4-BE49-F238E27FC236}">
              <a16:creationId xmlns:a16="http://schemas.microsoft.com/office/drawing/2014/main" id="{00000000-0008-0000-0700-00000F000000}"/>
            </a:ext>
          </a:extLst>
        </xdr:cNvPr>
        <xdr:cNvSpPr/>
      </xdr:nvSpPr>
      <xdr:spPr>
        <a:xfrm>
          <a:off x="7038974" y="19812001"/>
          <a:ext cx="704851" cy="733425"/>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485775</xdr:colOff>
      <xdr:row>102</xdr:row>
      <xdr:rowOff>0</xdr:rowOff>
    </xdr:from>
    <xdr:to>
      <xdr:col>11</xdr:col>
      <xdr:colOff>247650</xdr:colOff>
      <xdr:row>110</xdr:row>
      <xdr:rowOff>0</xdr:rowOff>
    </xdr:to>
    <xdr:sp macro="" textlink="">
      <xdr:nvSpPr>
        <xdr:cNvPr id="16" name="角丸四角形 15">
          <a:extLst>
            <a:ext uri="{FF2B5EF4-FFF2-40B4-BE49-F238E27FC236}">
              <a16:creationId xmlns:a16="http://schemas.microsoft.com/office/drawing/2014/main" id="{00000000-0008-0000-0700-000010000000}"/>
            </a:ext>
          </a:extLst>
        </xdr:cNvPr>
        <xdr:cNvSpPr/>
      </xdr:nvSpPr>
      <xdr:spPr>
        <a:xfrm>
          <a:off x="4029075" y="23060025"/>
          <a:ext cx="3943350" cy="1905000"/>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742950</xdr:colOff>
      <xdr:row>68</xdr:row>
      <xdr:rowOff>0</xdr:rowOff>
    </xdr:from>
    <xdr:to>
      <xdr:col>7</xdr:col>
      <xdr:colOff>0</xdr:colOff>
      <xdr:row>72</xdr:row>
      <xdr:rowOff>28575</xdr:rowOff>
    </xdr:to>
    <xdr:sp macro="" textlink="">
      <xdr:nvSpPr>
        <xdr:cNvPr id="17" name="角丸四角形 16">
          <a:extLst>
            <a:ext uri="{FF2B5EF4-FFF2-40B4-BE49-F238E27FC236}">
              <a16:creationId xmlns:a16="http://schemas.microsoft.com/office/drawing/2014/main" id="{00000000-0008-0000-0700-000011000000}"/>
            </a:ext>
          </a:extLst>
        </xdr:cNvPr>
        <xdr:cNvSpPr/>
      </xdr:nvSpPr>
      <xdr:spPr>
        <a:xfrm>
          <a:off x="4286250" y="15325725"/>
          <a:ext cx="695325" cy="981075"/>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0</xdr:colOff>
      <xdr:row>28</xdr:row>
      <xdr:rowOff>146050</xdr:rowOff>
    </xdr:from>
    <xdr:to>
      <xdr:col>11</xdr:col>
      <xdr:colOff>9525</xdr:colOff>
      <xdr:row>31</xdr:row>
      <xdr:rowOff>44450</xdr:rowOff>
    </xdr:to>
    <xdr:sp macro="" textlink="">
      <xdr:nvSpPr>
        <xdr:cNvPr id="2" name="角丸四角形 1">
          <a:extLst>
            <a:ext uri="{FF2B5EF4-FFF2-40B4-BE49-F238E27FC236}">
              <a16:creationId xmlns:a16="http://schemas.microsoft.com/office/drawing/2014/main" id="{00000000-0008-0000-0800-000002000000}"/>
            </a:ext>
          </a:extLst>
        </xdr:cNvPr>
        <xdr:cNvSpPr/>
      </xdr:nvSpPr>
      <xdr:spPr>
        <a:xfrm>
          <a:off x="6238875" y="5184775"/>
          <a:ext cx="1381125" cy="412750"/>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685799</xdr:colOff>
      <xdr:row>87</xdr:row>
      <xdr:rowOff>85726</xdr:rowOff>
    </xdr:from>
    <xdr:to>
      <xdr:col>12</xdr:col>
      <xdr:colOff>19050</xdr:colOff>
      <xdr:row>90</xdr:row>
      <xdr:rowOff>104776</xdr:rowOff>
    </xdr:to>
    <xdr:sp macro="" textlink="">
      <xdr:nvSpPr>
        <xdr:cNvPr id="3" name="角丸四角形 2">
          <a:extLst>
            <a:ext uri="{FF2B5EF4-FFF2-40B4-BE49-F238E27FC236}">
              <a16:creationId xmlns:a16="http://schemas.microsoft.com/office/drawing/2014/main" id="{00000000-0008-0000-0800-000003000000}"/>
            </a:ext>
          </a:extLst>
        </xdr:cNvPr>
        <xdr:cNvSpPr/>
      </xdr:nvSpPr>
      <xdr:spPr>
        <a:xfrm>
          <a:off x="7610474" y="15011401"/>
          <a:ext cx="704851" cy="533400"/>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485775</xdr:colOff>
      <xdr:row>102</xdr:row>
      <xdr:rowOff>0</xdr:rowOff>
    </xdr:from>
    <xdr:to>
      <xdr:col>12</xdr:col>
      <xdr:colOff>247650</xdr:colOff>
      <xdr:row>110</xdr:row>
      <xdr:rowOff>0</xdr:rowOff>
    </xdr:to>
    <xdr:sp macro="" textlink="">
      <xdr:nvSpPr>
        <xdr:cNvPr id="4" name="角丸四角形 3">
          <a:extLst>
            <a:ext uri="{FF2B5EF4-FFF2-40B4-BE49-F238E27FC236}">
              <a16:creationId xmlns:a16="http://schemas.microsoft.com/office/drawing/2014/main" id="{00000000-0008-0000-0800-000004000000}"/>
            </a:ext>
          </a:extLst>
        </xdr:cNvPr>
        <xdr:cNvSpPr/>
      </xdr:nvSpPr>
      <xdr:spPr>
        <a:xfrm>
          <a:off x="3914775" y="17459325"/>
          <a:ext cx="4629150" cy="1371600"/>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9525</xdr:colOff>
      <xdr:row>69</xdr:row>
      <xdr:rowOff>0</xdr:rowOff>
    </xdr:from>
    <xdr:to>
      <xdr:col>8</xdr:col>
      <xdr:colOff>0</xdr:colOff>
      <xdr:row>73</xdr:row>
      <xdr:rowOff>28575</xdr:rowOff>
    </xdr:to>
    <xdr:sp macro="" textlink="">
      <xdr:nvSpPr>
        <xdr:cNvPr id="5" name="角丸四角形 4">
          <a:extLst>
            <a:ext uri="{FF2B5EF4-FFF2-40B4-BE49-F238E27FC236}">
              <a16:creationId xmlns:a16="http://schemas.microsoft.com/office/drawing/2014/main" id="{00000000-0008-0000-0800-000005000000}"/>
            </a:ext>
          </a:extLst>
        </xdr:cNvPr>
        <xdr:cNvSpPr/>
      </xdr:nvSpPr>
      <xdr:spPr>
        <a:xfrm>
          <a:off x="4876800" y="11896725"/>
          <a:ext cx="676275" cy="714375"/>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52"/>
  <sheetViews>
    <sheetView topLeftCell="A4" zoomScaleNormal="100" workbookViewId="0">
      <selection activeCell="G17" sqref="G17"/>
    </sheetView>
  </sheetViews>
  <sheetFormatPr defaultRowHeight="18.75" x14ac:dyDescent="0.4"/>
  <cols>
    <col min="1" max="16384" width="9" style="9"/>
  </cols>
  <sheetData>
    <row r="1" spans="1:15" ht="26.25" customHeight="1" x14ac:dyDescent="0.4">
      <c r="B1" s="73" t="s">
        <v>183</v>
      </c>
    </row>
    <row r="2" spans="1:15" ht="21.75" customHeight="1" x14ac:dyDescent="0.4">
      <c r="B2" s="72"/>
    </row>
    <row r="3" spans="1:15" ht="18" customHeight="1" x14ac:dyDescent="0.4">
      <c r="B3" s="70" t="s">
        <v>111</v>
      </c>
    </row>
    <row r="4" spans="1:15" ht="15" customHeight="1" x14ac:dyDescent="0.4">
      <c r="B4" s="34" t="s">
        <v>182</v>
      </c>
    </row>
    <row r="5" spans="1:15" ht="15" customHeight="1" x14ac:dyDescent="0.4">
      <c r="B5" s="34" t="s">
        <v>181</v>
      </c>
    </row>
    <row r="6" spans="1:15" ht="15" customHeight="1" x14ac:dyDescent="0.4">
      <c r="A6" s="9" t="s">
        <v>180</v>
      </c>
      <c r="B6" s="34" t="s">
        <v>179</v>
      </c>
    </row>
    <row r="7" spans="1:15" ht="13.5" customHeight="1" x14ac:dyDescent="0.4">
      <c r="B7" s="34"/>
      <c r="G7" s="27"/>
    </row>
    <row r="8" spans="1:15" ht="13.5" customHeight="1" x14ac:dyDescent="0.4">
      <c r="B8" s="34"/>
    </row>
    <row r="9" spans="1:15" ht="18" customHeight="1" x14ac:dyDescent="0.4">
      <c r="B9" s="70" t="s">
        <v>106</v>
      </c>
    </row>
    <row r="10" spans="1:15" x14ac:dyDescent="0.4">
      <c r="B10" s="34"/>
    </row>
    <row r="11" spans="1:15" x14ac:dyDescent="0.4">
      <c r="B11" s="9" t="s">
        <v>105</v>
      </c>
    </row>
    <row r="13" spans="1:15" x14ac:dyDescent="0.4">
      <c r="F13" s="69"/>
      <c r="O13" s="26" t="s">
        <v>32</v>
      </c>
    </row>
    <row r="14" spans="1:15" x14ac:dyDescent="0.4">
      <c r="B14" s="47" t="s">
        <v>104</v>
      </c>
      <c r="C14" s="104" t="s">
        <v>178</v>
      </c>
      <c r="D14" s="103">
        <v>0.44800000000000001</v>
      </c>
      <c r="E14" s="66"/>
      <c r="F14" s="25"/>
      <c r="G14" s="23" t="s">
        <v>31</v>
      </c>
      <c r="H14" s="22" t="s">
        <v>30</v>
      </c>
      <c r="I14" s="22" t="s">
        <v>29</v>
      </c>
      <c r="J14" s="22" t="s">
        <v>28</v>
      </c>
      <c r="K14" s="22" t="s">
        <v>27</v>
      </c>
      <c r="L14" s="22" t="s">
        <v>26</v>
      </c>
      <c r="M14" s="24" t="s">
        <v>25</v>
      </c>
      <c r="N14" s="23" t="s">
        <v>24</v>
      </c>
      <c r="O14" s="22" t="s">
        <v>23</v>
      </c>
    </row>
    <row r="15" spans="1:15" x14ac:dyDescent="0.4">
      <c r="B15" s="47" t="s">
        <v>102</v>
      </c>
      <c r="C15" s="9" t="s">
        <v>177</v>
      </c>
      <c r="D15" s="103">
        <v>0.55200000000000005</v>
      </c>
      <c r="E15" s="66"/>
      <c r="F15" s="21" t="s">
        <v>100</v>
      </c>
      <c r="G15" s="90">
        <v>101</v>
      </c>
      <c r="H15" s="95">
        <v>184</v>
      </c>
      <c r="I15" s="95">
        <v>215</v>
      </c>
      <c r="J15" s="95">
        <v>214</v>
      </c>
      <c r="K15" s="95">
        <v>121</v>
      </c>
      <c r="L15" s="95">
        <v>106</v>
      </c>
      <c r="M15" s="96">
        <v>45</v>
      </c>
      <c r="N15" s="90">
        <v>1</v>
      </c>
      <c r="O15" s="95">
        <f>SUM(G15:N15)</f>
        <v>987</v>
      </c>
    </row>
    <row r="16" spans="1:15" x14ac:dyDescent="0.4">
      <c r="B16" s="47" t="s">
        <v>99</v>
      </c>
      <c r="C16" s="9" t="s">
        <v>176</v>
      </c>
      <c r="E16" s="65"/>
      <c r="F16" s="21" t="s">
        <v>97</v>
      </c>
      <c r="G16" s="90">
        <v>106</v>
      </c>
      <c r="H16" s="95">
        <v>133</v>
      </c>
      <c r="I16" s="95">
        <v>217</v>
      </c>
      <c r="J16" s="95">
        <v>207</v>
      </c>
      <c r="K16" s="95">
        <v>234</v>
      </c>
      <c r="L16" s="95">
        <v>220</v>
      </c>
      <c r="M16" s="96">
        <v>94</v>
      </c>
      <c r="N16" s="90">
        <v>7</v>
      </c>
      <c r="O16" s="95">
        <f>SUM(G16:N16)</f>
        <v>1218</v>
      </c>
    </row>
    <row r="17" spans="2:15" x14ac:dyDescent="0.4">
      <c r="E17" s="27"/>
      <c r="F17" s="23" t="s">
        <v>23</v>
      </c>
      <c r="G17" s="89">
        <v>207</v>
      </c>
      <c r="H17" s="89">
        <v>317</v>
      </c>
      <c r="I17" s="89">
        <v>432</v>
      </c>
      <c r="J17" s="89">
        <v>421</v>
      </c>
      <c r="K17" s="89">
        <v>355</v>
      </c>
      <c r="L17" s="89">
        <v>326</v>
      </c>
      <c r="M17" s="69">
        <v>139</v>
      </c>
      <c r="N17" s="90">
        <v>8</v>
      </c>
      <c r="O17" s="89">
        <f>SUM(G17:N17)</f>
        <v>2205</v>
      </c>
    </row>
    <row r="18" spans="2:15" x14ac:dyDescent="0.4">
      <c r="B18" s="47" t="s">
        <v>96</v>
      </c>
      <c r="C18" s="9" t="s">
        <v>95</v>
      </c>
      <c r="F18" s="64" t="s">
        <v>94</v>
      </c>
      <c r="G18" s="93">
        <v>9.4E-2</v>
      </c>
      <c r="H18" s="93">
        <v>0.14399999999999999</v>
      </c>
      <c r="I18" s="93">
        <v>0.19600000000000001</v>
      </c>
      <c r="J18" s="92">
        <v>0.191</v>
      </c>
      <c r="K18" s="93">
        <v>0.161</v>
      </c>
      <c r="L18" s="92">
        <v>0.14799999999999999</v>
      </c>
      <c r="M18" s="92">
        <v>6.3E-2</v>
      </c>
      <c r="N18" s="92">
        <v>4.0000000000000001E-3</v>
      </c>
      <c r="O18" s="102"/>
    </row>
    <row r="19" spans="2:15" x14ac:dyDescent="0.4">
      <c r="B19" s="47" t="s">
        <v>93</v>
      </c>
      <c r="C19" s="9" t="s">
        <v>175</v>
      </c>
      <c r="N19" s="29"/>
    </row>
    <row r="20" spans="2:15" x14ac:dyDescent="0.4">
      <c r="B20" s="60" t="s">
        <v>91</v>
      </c>
      <c r="C20" s="9" t="s">
        <v>174</v>
      </c>
      <c r="N20" s="27"/>
    </row>
    <row r="23" spans="2:15" x14ac:dyDescent="0.4">
      <c r="B23" s="9" t="s">
        <v>89</v>
      </c>
      <c r="O23" s="26"/>
    </row>
    <row r="24" spans="2:15" x14ac:dyDescent="0.4">
      <c r="O24" s="26" t="s">
        <v>32</v>
      </c>
    </row>
    <row r="25" spans="2:15" x14ac:dyDescent="0.4">
      <c r="C25" s="9" t="s">
        <v>88</v>
      </c>
      <c r="F25" s="25"/>
      <c r="G25" s="23" t="s">
        <v>31</v>
      </c>
      <c r="H25" s="22" t="s">
        <v>30</v>
      </c>
      <c r="I25" s="22" t="s">
        <v>29</v>
      </c>
      <c r="J25" s="22" t="s">
        <v>28</v>
      </c>
      <c r="K25" s="22" t="s">
        <v>27</v>
      </c>
      <c r="L25" s="22" t="s">
        <v>26</v>
      </c>
      <c r="M25" s="24" t="s">
        <v>25</v>
      </c>
      <c r="N25" s="23" t="s">
        <v>24</v>
      </c>
      <c r="O25" s="22" t="s">
        <v>23</v>
      </c>
    </row>
    <row r="26" spans="2:15" x14ac:dyDescent="0.4">
      <c r="C26" s="9" t="s">
        <v>87</v>
      </c>
      <c r="F26" s="21">
        <v>1</v>
      </c>
      <c r="G26" s="90">
        <v>18</v>
      </c>
      <c r="H26" s="95">
        <v>37</v>
      </c>
      <c r="I26" s="95">
        <v>81</v>
      </c>
      <c r="J26" s="95">
        <v>99</v>
      </c>
      <c r="K26" s="95">
        <v>109</v>
      </c>
      <c r="L26" s="95">
        <v>129</v>
      </c>
      <c r="M26" s="96">
        <v>40</v>
      </c>
      <c r="N26" s="90">
        <v>2</v>
      </c>
      <c r="O26" s="95">
        <f t="shared" ref="O26:O31" si="0">SUM(G26:N26)</f>
        <v>515</v>
      </c>
    </row>
    <row r="27" spans="2:15" x14ac:dyDescent="0.4">
      <c r="C27" s="9" t="s">
        <v>86</v>
      </c>
      <c r="F27" s="21">
        <v>2</v>
      </c>
      <c r="G27" s="90">
        <v>28</v>
      </c>
      <c r="H27" s="95">
        <v>42</v>
      </c>
      <c r="I27" s="95">
        <v>77</v>
      </c>
      <c r="J27" s="95">
        <v>58</v>
      </c>
      <c r="K27" s="95">
        <v>65</v>
      </c>
      <c r="L27" s="95">
        <v>52</v>
      </c>
      <c r="M27" s="96">
        <v>17</v>
      </c>
      <c r="N27" s="90">
        <v>2</v>
      </c>
      <c r="O27" s="95">
        <f t="shared" si="0"/>
        <v>341</v>
      </c>
    </row>
    <row r="28" spans="2:15" x14ac:dyDescent="0.4">
      <c r="C28" s="9" t="s">
        <v>85</v>
      </c>
      <c r="F28" s="21">
        <v>3</v>
      </c>
      <c r="G28" s="90">
        <v>30</v>
      </c>
      <c r="H28" s="95">
        <v>82</v>
      </c>
      <c r="I28" s="95">
        <v>106</v>
      </c>
      <c r="J28" s="95">
        <v>104</v>
      </c>
      <c r="K28" s="95">
        <v>48</v>
      </c>
      <c r="L28" s="95">
        <v>32</v>
      </c>
      <c r="M28" s="96">
        <v>9</v>
      </c>
      <c r="N28" s="90">
        <v>0</v>
      </c>
      <c r="O28" s="95">
        <f t="shared" si="0"/>
        <v>411</v>
      </c>
    </row>
    <row r="29" spans="2:15" x14ac:dyDescent="0.4">
      <c r="F29" s="19">
        <v>4</v>
      </c>
      <c r="G29" s="94">
        <v>131</v>
      </c>
      <c r="H29" s="89">
        <v>156</v>
      </c>
      <c r="I29" s="89">
        <v>167</v>
      </c>
      <c r="J29" s="89">
        <v>159</v>
      </c>
      <c r="K29" s="89">
        <v>130</v>
      </c>
      <c r="L29" s="89">
        <v>103</v>
      </c>
      <c r="M29" s="69">
        <v>61</v>
      </c>
      <c r="N29" s="90">
        <v>4</v>
      </c>
      <c r="O29" s="95">
        <f t="shared" si="0"/>
        <v>911</v>
      </c>
    </row>
    <row r="30" spans="2:15" x14ac:dyDescent="0.4">
      <c r="F30" s="19" t="s">
        <v>151</v>
      </c>
      <c r="G30" s="94">
        <v>0</v>
      </c>
      <c r="H30" s="89">
        <v>0</v>
      </c>
      <c r="I30" s="89">
        <v>1</v>
      </c>
      <c r="J30" s="89">
        <v>1</v>
      </c>
      <c r="K30" s="89">
        <v>3</v>
      </c>
      <c r="L30" s="89">
        <v>10</v>
      </c>
      <c r="M30" s="69">
        <v>12</v>
      </c>
      <c r="N30" s="90">
        <v>0</v>
      </c>
      <c r="O30" s="95">
        <f t="shared" si="0"/>
        <v>27</v>
      </c>
    </row>
    <row r="31" spans="2:15" x14ac:dyDescent="0.4">
      <c r="B31" s="9" t="s">
        <v>54</v>
      </c>
      <c r="F31" s="13" t="s">
        <v>23</v>
      </c>
      <c r="G31" s="94">
        <f t="shared" ref="G31:N31" si="1">SUM(G26:G30)</f>
        <v>207</v>
      </c>
      <c r="H31" s="94">
        <f t="shared" si="1"/>
        <v>317</v>
      </c>
      <c r="I31" s="94">
        <f t="shared" si="1"/>
        <v>432</v>
      </c>
      <c r="J31" s="94">
        <f t="shared" si="1"/>
        <v>421</v>
      </c>
      <c r="K31" s="94">
        <f t="shared" si="1"/>
        <v>355</v>
      </c>
      <c r="L31" s="94">
        <f t="shared" si="1"/>
        <v>326</v>
      </c>
      <c r="M31" s="94">
        <f t="shared" si="1"/>
        <v>139</v>
      </c>
      <c r="N31" s="94">
        <f t="shared" si="1"/>
        <v>8</v>
      </c>
      <c r="O31" s="89">
        <f t="shared" si="0"/>
        <v>2205</v>
      </c>
    </row>
    <row r="32" spans="2:15" x14ac:dyDescent="0.4">
      <c r="B32" s="9" t="s">
        <v>141</v>
      </c>
    </row>
    <row r="33" spans="2:15" x14ac:dyDescent="0.4">
      <c r="B33" s="9" t="s">
        <v>140</v>
      </c>
      <c r="G33" s="47" t="s">
        <v>31</v>
      </c>
      <c r="H33" s="47" t="s">
        <v>30</v>
      </c>
      <c r="I33" s="47" t="s">
        <v>29</v>
      </c>
      <c r="J33" s="47" t="s">
        <v>28</v>
      </c>
      <c r="K33" s="47" t="s">
        <v>27</v>
      </c>
      <c r="L33" s="47" t="s">
        <v>26</v>
      </c>
      <c r="M33" s="47" t="s">
        <v>25</v>
      </c>
      <c r="N33" s="47" t="s">
        <v>63</v>
      </c>
    </row>
    <row r="34" spans="2:15" x14ac:dyDescent="0.4">
      <c r="G34" s="75">
        <v>0.36699999999999999</v>
      </c>
      <c r="H34" s="75">
        <v>0.50800000000000001</v>
      </c>
      <c r="I34" s="75">
        <v>0.61099999999999999</v>
      </c>
      <c r="J34" s="75">
        <v>0.62</v>
      </c>
      <c r="K34" s="75">
        <v>0.625</v>
      </c>
      <c r="L34" s="75">
        <v>0.65300000000000002</v>
      </c>
      <c r="M34" s="75">
        <v>0.47499999999999998</v>
      </c>
      <c r="N34" s="75">
        <v>0.5</v>
      </c>
    </row>
    <row r="38" spans="2:15" x14ac:dyDescent="0.4">
      <c r="B38" s="9" t="s">
        <v>80</v>
      </c>
      <c r="O38" s="26"/>
    </row>
    <row r="39" spans="2:15" x14ac:dyDescent="0.4">
      <c r="O39" s="26" t="s">
        <v>32</v>
      </c>
    </row>
    <row r="40" spans="2:15" x14ac:dyDescent="0.4">
      <c r="C40" s="9" t="s">
        <v>22</v>
      </c>
      <c r="D40" s="53"/>
      <c r="F40" s="25"/>
      <c r="G40" s="23" t="s">
        <v>31</v>
      </c>
      <c r="H40" s="22" t="s">
        <v>30</v>
      </c>
      <c r="I40" s="22" t="s">
        <v>29</v>
      </c>
      <c r="J40" s="22" t="s">
        <v>28</v>
      </c>
      <c r="K40" s="22" t="s">
        <v>27</v>
      </c>
      <c r="L40" s="22" t="s">
        <v>26</v>
      </c>
      <c r="M40" s="24" t="s">
        <v>25</v>
      </c>
      <c r="N40" s="23" t="s">
        <v>24</v>
      </c>
      <c r="O40" s="22" t="s">
        <v>23</v>
      </c>
    </row>
    <row r="41" spans="2:15" x14ac:dyDescent="0.4">
      <c r="C41" s="9" t="s">
        <v>173</v>
      </c>
      <c r="D41" s="53">
        <v>0.29799999999999999</v>
      </c>
      <c r="F41" s="21">
        <v>1</v>
      </c>
      <c r="G41" s="90">
        <v>39</v>
      </c>
      <c r="H41" s="95">
        <v>76</v>
      </c>
      <c r="I41" s="95">
        <v>112</v>
      </c>
      <c r="J41" s="95">
        <v>112</v>
      </c>
      <c r="K41" s="95">
        <v>124</v>
      </c>
      <c r="L41" s="95">
        <v>148</v>
      </c>
      <c r="M41" s="96">
        <v>44</v>
      </c>
      <c r="N41" s="90">
        <v>1</v>
      </c>
      <c r="O41" s="95">
        <f>SUM(G41:N41)</f>
        <v>656</v>
      </c>
    </row>
    <row r="42" spans="2:15" x14ac:dyDescent="0.4">
      <c r="C42" s="9" t="s">
        <v>172</v>
      </c>
      <c r="D42" s="53">
        <v>0.69499999999999995</v>
      </c>
      <c r="F42" s="21">
        <v>2</v>
      </c>
      <c r="G42" s="90">
        <v>167</v>
      </c>
      <c r="H42" s="95">
        <v>241</v>
      </c>
      <c r="I42" s="95">
        <v>319</v>
      </c>
      <c r="J42" s="95">
        <v>308</v>
      </c>
      <c r="K42" s="95">
        <v>228</v>
      </c>
      <c r="L42" s="95">
        <v>175</v>
      </c>
      <c r="M42" s="96">
        <v>89</v>
      </c>
      <c r="N42" s="90">
        <v>6</v>
      </c>
      <c r="O42" s="95">
        <f>SUM(G42:N42)</f>
        <v>1533</v>
      </c>
    </row>
    <row r="43" spans="2:15" x14ac:dyDescent="0.4">
      <c r="C43" s="9" t="s">
        <v>152</v>
      </c>
      <c r="D43" s="53">
        <v>7.0000000000000001E-3</v>
      </c>
      <c r="F43" s="19" t="s">
        <v>151</v>
      </c>
      <c r="G43" s="94">
        <v>1</v>
      </c>
      <c r="H43" s="89">
        <v>0</v>
      </c>
      <c r="I43" s="89">
        <v>1</v>
      </c>
      <c r="J43" s="89">
        <v>1</v>
      </c>
      <c r="K43" s="89">
        <v>3</v>
      </c>
      <c r="L43" s="89">
        <v>3</v>
      </c>
      <c r="M43" s="69">
        <v>6</v>
      </c>
      <c r="N43" s="90">
        <v>1</v>
      </c>
      <c r="O43" s="95">
        <f>SUM(G43:N43)</f>
        <v>16</v>
      </c>
    </row>
    <row r="44" spans="2:15" x14ac:dyDescent="0.4">
      <c r="F44" s="13" t="s">
        <v>23</v>
      </c>
      <c r="G44" s="94">
        <f t="shared" ref="G44:O44" si="2">SUM(G41:G43)</f>
        <v>207</v>
      </c>
      <c r="H44" s="94">
        <f t="shared" si="2"/>
        <v>317</v>
      </c>
      <c r="I44" s="94">
        <f t="shared" si="2"/>
        <v>432</v>
      </c>
      <c r="J44" s="94">
        <f t="shared" si="2"/>
        <v>421</v>
      </c>
      <c r="K44" s="94">
        <f t="shared" si="2"/>
        <v>355</v>
      </c>
      <c r="L44" s="94">
        <f t="shared" si="2"/>
        <v>326</v>
      </c>
      <c r="M44" s="94">
        <f t="shared" si="2"/>
        <v>139</v>
      </c>
      <c r="N44" s="94">
        <f t="shared" si="2"/>
        <v>8</v>
      </c>
      <c r="O44" s="94">
        <f t="shared" si="2"/>
        <v>2205</v>
      </c>
    </row>
    <row r="46" spans="2:15" x14ac:dyDescent="0.4">
      <c r="B46" s="9" t="s">
        <v>54</v>
      </c>
      <c r="G46" s="47" t="s">
        <v>31</v>
      </c>
      <c r="H46" s="47" t="s">
        <v>30</v>
      </c>
      <c r="I46" s="47" t="s">
        <v>29</v>
      </c>
      <c r="J46" s="47" t="s">
        <v>28</v>
      </c>
      <c r="K46" s="47" t="s">
        <v>27</v>
      </c>
      <c r="L46" s="47" t="s">
        <v>26</v>
      </c>
      <c r="M46" s="47" t="s">
        <v>25</v>
      </c>
      <c r="N46" s="47" t="s">
        <v>63</v>
      </c>
    </row>
    <row r="47" spans="2:15" x14ac:dyDescent="0.4">
      <c r="B47" s="9" t="s">
        <v>139</v>
      </c>
      <c r="G47" s="75">
        <v>0.188</v>
      </c>
      <c r="H47" s="75">
        <v>0.24</v>
      </c>
      <c r="I47" s="75">
        <v>0.25900000000000001</v>
      </c>
      <c r="J47" s="75">
        <v>0.26600000000000001</v>
      </c>
      <c r="K47" s="75">
        <v>0.34899999999999998</v>
      </c>
      <c r="L47" s="75">
        <v>0.45400000000000001</v>
      </c>
      <c r="M47" s="75">
        <v>0.317</v>
      </c>
      <c r="N47" s="75">
        <v>0.125</v>
      </c>
    </row>
    <row r="52" spans="2:15" x14ac:dyDescent="0.4">
      <c r="B52" s="9" t="s">
        <v>77</v>
      </c>
      <c r="O52" s="26"/>
    </row>
    <row r="53" spans="2:15" x14ac:dyDescent="0.4">
      <c r="O53" s="26" t="s">
        <v>32</v>
      </c>
    </row>
    <row r="54" spans="2:15" x14ac:dyDescent="0.4">
      <c r="B54" s="28"/>
      <c r="C54" s="9" t="s">
        <v>22</v>
      </c>
      <c r="D54" s="53"/>
      <c r="F54" s="25"/>
      <c r="G54" s="23" t="s">
        <v>31</v>
      </c>
      <c r="H54" s="22" t="s">
        <v>30</v>
      </c>
      <c r="I54" s="22" t="s">
        <v>29</v>
      </c>
      <c r="J54" s="22" t="s">
        <v>28</v>
      </c>
      <c r="K54" s="22" t="s">
        <v>27</v>
      </c>
      <c r="L54" s="22" t="s">
        <v>26</v>
      </c>
      <c r="M54" s="24" t="s">
        <v>25</v>
      </c>
      <c r="N54" s="23" t="s">
        <v>24</v>
      </c>
      <c r="O54" s="22" t="s">
        <v>23</v>
      </c>
    </row>
    <row r="55" spans="2:15" x14ac:dyDescent="0.4">
      <c r="C55" s="9" t="s">
        <v>173</v>
      </c>
      <c r="D55" s="53">
        <v>0.17399999999999999</v>
      </c>
      <c r="F55" s="21">
        <v>1</v>
      </c>
      <c r="G55" s="90">
        <v>47</v>
      </c>
      <c r="H55" s="95">
        <v>62</v>
      </c>
      <c r="I55" s="95">
        <v>85</v>
      </c>
      <c r="J55" s="95">
        <v>76</v>
      </c>
      <c r="K55" s="95">
        <v>56</v>
      </c>
      <c r="L55" s="95">
        <v>46</v>
      </c>
      <c r="M55" s="96">
        <v>10</v>
      </c>
      <c r="N55" s="90">
        <v>2</v>
      </c>
      <c r="O55" s="95">
        <f>SUM(G55:N55)</f>
        <v>384</v>
      </c>
    </row>
    <row r="56" spans="2:15" x14ac:dyDescent="0.4">
      <c r="C56" s="9" t="s">
        <v>74</v>
      </c>
      <c r="D56" s="53">
        <v>0.79700000000000004</v>
      </c>
      <c r="F56" s="21">
        <v>2</v>
      </c>
      <c r="G56" s="90">
        <v>160</v>
      </c>
      <c r="H56" s="95">
        <v>251</v>
      </c>
      <c r="I56" s="95">
        <v>346</v>
      </c>
      <c r="J56" s="95">
        <v>341</v>
      </c>
      <c r="K56" s="95">
        <v>287</v>
      </c>
      <c r="L56" s="95">
        <v>257</v>
      </c>
      <c r="M56" s="96">
        <v>111</v>
      </c>
      <c r="N56" s="90">
        <v>4</v>
      </c>
      <c r="O56" s="95">
        <f>SUM(G56:N56)</f>
        <v>1757</v>
      </c>
    </row>
    <row r="57" spans="2:15" x14ac:dyDescent="0.4">
      <c r="C57" s="9" t="s">
        <v>152</v>
      </c>
      <c r="D57" s="53">
        <v>2.9000000000000001E-2</v>
      </c>
      <c r="F57" s="19" t="s">
        <v>151</v>
      </c>
      <c r="G57" s="94">
        <v>0</v>
      </c>
      <c r="H57" s="89">
        <v>4</v>
      </c>
      <c r="I57" s="89">
        <v>1</v>
      </c>
      <c r="J57" s="89">
        <v>4</v>
      </c>
      <c r="K57" s="89">
        <v>12</v>
      </c>
      <c r="L57" s="89">
        <v>23</v>
      </c>
      <c r="M57" s="69">
        <v>18</v>
      </c>
      <c r="N57" s="90">
        <v>2</v>
      </c>
      <c r="O57" s="95">
        <f>SUM(G57:N57)</f>
        <v>64</v>
      </c>
    </row>
    <row r="58" spans="2:15" x14ac:dyDescent="0.4">
      <c r="F58" s="13" t="s">
        <v>23</v>
      </c>
      <c r="G58" s="94">
        <f t="shared" ref="G58:O58" si="3">SUM(G55:G57)</f>
        <v>207</v>
      </c>
      <c r="H58" s="94">
        <f t="shared" si="3"/>
        <v>317</v>
      </c>
      <c r="I58" s="94">
        <f t="shared" si="3"/>
        <v>432</v>
      </c>
      <c r="J58" s="94">
        <f t="shared" si="3"/>
        <v>421</v>
      </c>
      <c r="K58" s="94">
        <f t="shared" si="3"/>
        <v>355</v>
      </c>
      <c r="L58" s="94">
        <f t="shared" si="3"/>
        <v>326</v>
      </c>
      <c r="M58" s="94">
        <f t="shared" si="3"/>
        <v>139</v>
      </c>
      <c r="N58" s="94">
        <f t="shared" si="3"/>
        <v>8</v>
      </c>
      <c r="O58" s="94">
        <f t="shared" si="3"/>
        <v>2205</v>
      </c>
    </row>
    <row r="60" spans="2:15" x14ac:dyDescent="0.4">
      <c r="G60" s="47" t="s">
        <v>31</v>
      </c>
      <c r="H60" s="47" t="s">
        <v>30</v>
      </c>
      <c r="I60" s="47" t="s">
        <v>29</v>
      </c>
      <c r="J60" s="47" t="s">
        <v>28</v>
      </c>
      <c r="K60" s="47" t="s">
        <v>27</v>
      </c>
      <c r="L60" s="47" t="s">
        <v>26</v>
      </c>
      <c r="M60" s="47" t="s">
        <v>25</v>
      </c>
      <c r="N60" s="47" t="s">
        <v>63</v>
      </c>
    </row>
    <row r="61" spans="2:15" x14ac:dyDescent="0.4">
      <c r="G61" s="75">
        <v>0.22700000000000001</v>
      </c>
      <c r="H61" s="75">
        <v>0.19600000000000001</v>
      </c>
      <c r="I61" s="75">
        <v>0.19700000000000001</v>
      </c>
      <c r="J61" s="75">
        <v>0.18099999999999999</v>
      </c>
      <c r="K61" s="75">
        <v>0.158</v>
      </c>
      <c r="L61" s="75">
        <v>0.14099999999999999</v>
      </c>
      <c r="M61" s="75">
        <v>7.1999999999999995E-2</v>
      </c>
      <c r="N61" s="75">
        <v>0.25</v>
      </c>
    </row>
    <row r="62" spans="2:15" x14ac:dyDescent="0.4">
      <c r="G62" s="75"/>
      <c r="H62" s="75"/>
      <c r="I62" s="75"/>
      <c r="J62" s="75"/>
      <c r="K62" s="75"/>
      <c r="L62" s="75"/>
      <c r="M62" s="75"/>
      <c r="N62" s="75"/>
    </row>
    <row r="63" spans="2:15" x14ac:dyDescent="0.4">
      <c r="G63" s="75"/>
      <c r="H63" s="75"/>
      <c r="I63" s="75"/>
      <c r="J63" s="75"/>
      <c r="K63" s="75"/>
      <c r="L63" s="75"/>
      <c r="M63" s="75"/>
      <c r="N63" s="75"/>
    </row>
    <row r="65" spans="2:15" x14ac:dyDescent="0.4">
      <c r="B65" s="9" t="s">
        <v>76</v>
      </c>
      <c r="O65" s="26"/>
    </row>
    <row r="66" spans="2:15" x14ac:dyDescent="0.4">
      <c r="O66" s="26" t="s">
        <v>32</v>
      </c>
    </row>
    <row r="67" spans="2:15" x14ac:dyDescent="0.4">
      <c r="B67" s="28"/>
      <c r="C67" s="9" t="s">
        <v>22</v>
      </c>
      <c r="D67" s="53"/>
      <c r="F67" s="25"/>
      <c r="G67" s="23" t="s">
        <v>31</v>
      </c>
      <c r="H67" s="22" t="s">
        <v>30</v>
      </c>
      <c r="I67" s="22" t="s">
        <v>29</v>
      </c>
      <c r="J67" s="22" t="s">
        <v>28</v>
      </c>
      <c r="K67" s="22" t="s">
        <v>27</v>
      </c>
      <c r="L67" s="22" t="s">
        <v>26</v>
      </c>
      <c r="M67" s="24" t="s">
        <v>25</v>
      </c>
      <c r="N67" s="23" t="s">
        <v>24</v>
      </c>
      <c r="O67" s="22" t="s">
        <v>23</v>
      </c>
    </row>
    <row r="68" spans="2:15" x14ac:dyDescent="0.4">
      <c r="C68" s="9" t="s">
        <v>173</v>
      </c>
      <c r="D68" s="53">
        <v>5.7000000000000002E-2</v>
      </c>
      <c r="F68" s="21">
        <v>1</v>
      </c>
      <c r="G68" s="90">
        <v>4</v>
      </c>
      <c r="H68" s="95">
        <v>5</v>
      </c>
      <c r="I68" s="95">
        <v>28</v>
      </c>
      <c r="J68" s="95">
        <v>43</v>
      </c>
      <c r="K68" s="95">
        <v>13</v>
      </c>
      <c r="L68" s="95">
        <v>23</v>
      </c>
      <c r="M68" s="96">
        <v>10</v>
      </c>
      <c r="N68" s="90">
        <v>0</v>
      </c>
      <c r="O68" s="95">
        <f>SUM(G68:N68)</f>
        <v>126</v>
      </c>
    </row>
    <row r="69" spans="2:15" x14ac:dyDescent="0.4">
      <c r="C69" s="9" t="s">
        <v>172</v>
      </c>
      <c r="D69" s="53">
        <v>0.879</v>
      </c>
      <c r="F69" s="21">
        <v>2</v>
      </c>
      <c r="G69" s="90">
        <v>197</v>
      </c>
      <c r="H69" s="95">
        <v>308</v>
      </c>
      <c r="I69" s="95">
        <v>398</v>
      </c>
      <c r="J69" s="95">
        <v>363</v>
      </c>
      <c r="K69" s="95">
        <v>307</v>
      </c>
      <c r="L69" s="95">
        <v>255</v>
      </c>
      <c r="M69" s="96">
        <v>104</v>
      </c>
      <c r="N69" s="90">
        <v>6</v>
      </c>
      <c r="O69" s="95">
        <f>SUM(G69:N69)</f>
        <v>1938</v>
      </c>
    </row>
    <row r="70" spans="2:15" x14ac:dyDescent="0.4">
      <c r="C70" s="9" t="s">
        <v>152</v>
      </c>
      <c r="D70" s="53">
        <v>6.4000000000000001E-2</v>
      </c>
      <c r="F70" s="19" t="s">
        <v>151</v>
      </c>
      <c r="G70" s="94">
        <v>6</v>
      </c>
      <c r="H70" s="89">
        <v>4</v>
      </c>
      <c r="I70" s="89">
        <v>6</v>
      </c>
      <c r="J70" s="89">
        <v>15</v>
      </c>
      <c r="K70" s="89">
        <v>35</v>
      </c>
      <c r="L70" s="89">
        <v>48</v>
      </c>
      <c r="M70" s="69">
        <v>25</v>
      </c>
      <c r="N70" s="90">
        <v>2</v>
      </c>
      <c r="O70" s="95">
        <f>SUM(G70:N70)</f>
        <v>141</v>
      </c>
    </row>
    <row r="71" spans="2:15" x14ac:dyDescent="0.4">
      <c r="F71" s="13" t="s">
        <v>23</v>
      </c>
      <c r="G71" s="94">
        <f t="shared" ref="G71:O71" si="4">SUM(G68:G70)</f>
        <v>207</v>
      </c>
      <c r="H71" s="94">
        <f t="shared" si="4"/>
        <v>317</v>
      </c>
      <c r="I71" s="94">
        <f t="shared" si="4"/>
        <v>432</v>
      </c>
      <c r="J71" s="94">
        <f t="shared" si="4"/>
        <v>421</v>
      </c>
      <c r="K71" s="94">
        <f t="shared" si="4"/>
        <v>355</v>
      </c>
      <c r="L71" s="94">
        <f t="shared" si="4"/>
        <v>326</v>
      </c>
      <c r="M71" s="94">
        <f t="shared" si="4"/>
        <v>139</v>
      </c>
      <c r="N71" s="94">
        <f t="shared" si="4"/>
        <v>8</v>
      </c>
      <c r="O71" s="94">
        <f t="shared" si="4"/>
        <v>2205</v>
      </c>
    </row>
    <row r="73" spans="2:15" x14ac:dyDescent="0.4">
      <c r="G73" s="47" t="s">
        <v>31</v>
      </c>
      <c r="H73" s="47" t="s">
        <v>30</v>
      </c>
      <c r="I73" s="47" t="s">
        <v>29</v>
      </c>
      <c r="J73" s="47" t="s">
        <v>28</v>
      </c>
      <c r="K73" s="47" t="s">
        <v>27</v>
      </c>
      <c r="L73" s="47" t="s">
        <v>26</v>
      </c>
      <c r="M73" s="47" t="s">
        <v>25</v>
      </c>
      <c r="N73" s="47" t="s">
        <v>63</v>
      </c>
    </row>
    <row r="74" spans="2:15" x14ac:dyDescent="0.4">
      <c r="G74" s="75">
        <v>1.9E-2</v>
      </c>
      <c r="H74" s="75">
        <v>1.6E-2</v>
      </c>
      <c r="I74" s="75">
        <v>6.5000000000000002E-2</v>
      </c>
      <c r="J74" s="75">
        <v>0.10199999999999999</v>
      </c>
      <c r="K74" s="75">
        <v>3.6999999999999998E-2</v>
      </c>
      <c r="L74" s="75">
        <v>7.0999999999999994E-2</v>
      </c>
      <c r="M74" s="75">
        <v>7.1999999999999995E-2</v>
      </c>
      <c r="N74" s="75">
        <v>0</v>
      </c>
    </row>
    <row r="78" spans="2:15" x14ac:dyDescent="0.4">
      <c r="B78" s="9" t="s">
        <v>138</v>
      </c>
      <c r="O78" s="26"/>
    </row>
    <row r="79" spans="2:15" x14ac:dyDescent="0.4">
      <c r="O79" s="26" t="s">
        <v>32</v>
      </c>
    </row>
    <row r="80" spans="2:15" x14ac:dyDescent="0.4">
      <c r="B80" s="28"/>
      <c r="C80" s="9" t="s">
        <v>22</v>
      </c>
      <c r="D80" s="53"/>
      <c r="F80" s="25"/>
      <c r="G80" s="23" t="s">
        <v>31</v>
      </c>
      <c r="H80" s="22" t="s">
        <v>30</v>
      </c>
      <c r="I80" s="22" t="s">
        <v>29</v>
      </c>
      <c r="J80" s="22" t="s">
        <v>28</v>
      </c>
      <c r="K80" s="22" t="s">
        <v>27</v>
      </c>
      <c r="L80" s="22" t="s">
        <v>26</v>
      </c>
      <c r="M80" s="24" t="s">
        <v>25</v>
      </c>
      <c r="N80" s="23" t="s">
        <v>24</v>
      </c>
      <c r="O80" s="22" t="s">
        <v>23</v>
      </c>
    </row>
    <row r="81" spans="2:15" x14ac:dyDescent="0.4">
      <c r="C81" s="9" t="s">
        <v>173</v>
      </c>
      <c r="D81" s="53">
        <v>0.85099999999999998</v>
      </c>
      <c r="F81" s="21">
        <v>1</v>
      </c>
      <c r="G81" s="90">
        <v>188</v>
      </c>
      <c r="H81" s="95">
        <v>290</v>
      </c>
      <c r="I81" s="95">
        <v>376</v>
      </c>
      <c r="J81" s="95">
        <v>349</v>
      </c>
      <c r="K81" s="95">
        <v>291</v>
      </c>
      <c r="L81" s="95">
        <v>264</v>
      </c>
      <c r="M81" s="96">
        <v>112</v>
      </c>
      <c r="N81" s="90">
        <v>6</v>
      </c>
      <c r="O81" s="95">
        <f>SUM(G81:N81)</f>
        <v>1876</v>
      </c>
    </row>
    <row r="82" spans="2:15" x14ac:dyDescent="0.4">
      <c r="C82" s="9" t="s">
        <v>172</v>
      </c>
      <c r="D82" s="53">
        <v>0.11</v>
      </c>
      <c r="F82" s="21">
        <v>2</v>
      </c>
      <c r="G82" s="90">
        <v>15</v>
      </c>
      <c r="H82" s="95">
        <v>25</v>
      </c>
      <c r="I82" s="95">
        <v>53</v>
      </c>
      <c r="J82" s="95">
        <v>62</v>
      </c>
      <c r="K82" s="95">
        <v>43</v>
      </c>
      <c r="L82" s="95">
        <v>32</v>
      </c>
      <c r="M82" s="96">
        <v>12</v>
      </c>
      <c r="N82" s="90">
        <v>0</v>
      </c>
      <c r="O82" s="95">
        <f>SUM(G82:N82)</f>
        <v>242</v>
      </c>
    </row>
    <row r="83" spans="2:15" x14ac:dyDescent="0.4">
      <c r="C83" s="9" t="s">
        <v>152</v>
      </c>
      <c r="D83" s="53">
        <v>3.9E-2</v>
      </c>
      <c r="F83" s="19" t="s">
        <v>151</v>
      </c>
      <c r="G83" s="94">
        <v>4</v>
      </c>
      <c r="H83" s="89">
        <v>2</v>
      </c>
      <c r="I83" s="89">
        <v>3</v>
      </c>
      <c r="J83" s="89">
        <v>10</v>
      </c>
      <c r="K83" s="89">
        <v>21</v>
      </c>
      <c r="L83" s="89">
        <v>30</v>
      </c>
      <c r="M83" s="69">
        <v>15</v>
      </c>
      <c r="N83" s="90">
        <v>2</v>
      </c>
      <c r="O83" s="95">
        <f>SUM(G83:N83)</f>
        <v>87</v>
      </c>
    </row>
    <row r="84" spans="2:15" x14ac:dyDescent="0.4">
      <c r="F84" s="13" t="s">
        <v>23</v>
      </c>
      <c r="G84" s="94">
        <f t="shared" ref="G84:O84" si="5">SUM(G81:G83)</f>
        <v>207</v>
      </c>
      <c r="H84" s="94">
        <f t="shared" si="5"/>
        <v>317</v>
      </c>
      <c r="I84" s="94">
        <f t="shared" si="5"/>
        <v>432</v>
      </c>
      <c r="J84" s="94">
        <f t="shared" si="5"/>
        <v>421</v>
      </c>
      <c r="K84" s="94">
        <f t="shared" si="5"/>
        <v>355</v>
      </c>
      <c r="L84" s="94">
        <f t="shared" si="5"/>
        <v>326</v>
      </c>
      <c r="M84" s="94">
        <f t="shared" si="5"/>
        <v>139</v>
      </c>
      <c r="N84" s="94">
        <f t="shared" si="5"/>
        <v>8</v>
      </c>
      <c r="O84" s="94">
        <f t="shared" si="5"/>
        <v>2205</v>
      </c>
    </row>
    <row r="86" spans="2:15" x14ac:dyDescent="0.4">
      <c r="B86" s="9" t="s">
        <v>54</v>
      </c>
      <c r="G86" s="47" t="s">
        <v>31</v>
      </c>
      <c r="H86" s="47" t="s">
        <v>30</v>
      </c>
      <c r="I86" s="47" t="s">
        <v>29</v>
      </c>
      <c r="J86" s="47" t="s">
        <v>28</v>
      </c>
      <c r="K86" s="47" t="s">
        <v>27</v>
      </c>
      <c r="L86" s="47" t="s">
        <v>26</v>
      </c>
      <c r="M86" s="47" t="s">
        <v>25</v>
      </c>
      <c r="N86" s="47" t="s">
        <v>63</v>
      </c>
    </row>
    <row r="87" spans="2:15" x14ac:dyDescent="0.4">
      <c r="B87" s="9" t="s">
        <v>137</v>
      </c>
      <c r="G87" s="75">
        <v>0.90800000000000003</v>
      </c>
      <c r="H87" s="75">
        <v>0.91500000000000004</v>
      </c>
      <c r="I87" s="75">
        <v>0.87</v>
      </c>
      <c r="J87" s="75">
        <v>0.82899999999999996</v>
      </c>
      <c r="K87" s="75">
        <v>0.82</v>
      </c>
      <c r="L87" s="75">
        <v>0.81</v>
      </c>
      <c r="M87" s="75">
        <v>0.80600000000000005</v>
      </c>
      <c r="N87" s="75">
        <v>0.75</v>
      </c>
    </row>
    <row r="88" spans="2:15" x14ac:dyDescent="0.4">
      <c r="D88" s="9" t="s">
        <v>136</v>
      </c>
    </row>
    <row r="92" spans="2:15" x14ac:dyDescent="0.4">
      <c r="B92" s="9" t="s">
        <v>135</v>
      </c>
      <c r="O92" s="26"/>
    </row>
    <row r="93" spans="2:15" x14ac:dyDescent="0.4">
      <c r="O93" s="26" t="s">
        <v>32</v>
      </c>
    </row>
    <row r="94" spans="2:15" x14ac:dyDescent="0.4">
      <c r="B94" s="28"/>
      <c r="C94" s="9" t="s">
        <v>22</v>
      </c>
      <c r="D94" s="53"/>
      <c r="F94" s="25"/>
      <c r="G94" s="23" t="s">
        <v>31</v>
      </c>
      <c r="H94" s="22" t="s">
        <v>30</v>
      </c>
      <c r="I94" s="22" t="s">
        <v>29</v>
      </c>
      <c r="J94" s="22" t="s">
        <v>28</v>
      </c>
      <c r="K94" s="22" t="s">
        <v>27</v>
      </c>
      <c r="L94" s="22" t="s">
        <v>26</v>
      </c>
      <c r="M94" s="24" t="s">
        <v>25</v>
      </c>
      <c r="N94" s="23" t="s">
        <v>24</v>
      </c>
      <c r="O94" s="22" t="s">
        <v>23</v>
      </c>
    </row>
    <row r="95" spans="2:15" x14ac:dyDescent="0.4">
      <c r="C95" s="9" t="s">
        <v>173</v>
      </c>
      <c r="D95" s="53">
        <v>0.65300000000000002</v>
      </c>
      <c r="F95" s="21">
        <v>1</v>
      </c>
      <c r="G95" s="90">
        <v>130</v>
      </c>
      <c r="H95" s="95">
        <v>188</v>
      </c>
      <c r="I95" s="95">
        <v>278</v>
      </c>
      <c r="J95" s="95">
        <v>275</v>
      </c>
      <c r="K95" s="95">
        <v>222</v>
      </c>
      <c r="L95" s="95">
        <v>232</v>
      </c>
      <c r="M95" s="96">
        <v>109</v>
      </c>
      <c r="N95" s="90">
        <v>6</v>
      </c>
      <c r="O95" s="95">
        <f>SUM(G95:N95)</f>
        <v>1440</v>
      </c>
    </row>
    <row r="96" spans="2:15" x14ac:dyDescent="0.4">
      <c r="C96" s="9" t="s">
        <v>172</v>
      </c>
      <c r="D96" s="53">
        <v>0.27600000000000002</v>
      </c>
      <c r="F96" s="21">
        <v>2</v>
      </c>
      <c r="G96" s="90">
        <v>71</v>
      </c>
      <c r="H96" s="95">
        <v>120</v>
      </c>
      <c r="I96" s="95">
        <v>143</v>
      </c>
      <c r="J96" s="95">
        <v>126</v>
      </c>
      <c r="K96" s="95">
        <v>87</v>
      </c>
      <c r="L96" s="95">
        <v>47</v>
      </c>
      <c r="M96" s="96">
        <v>15</v>
      </c>
      <c r="N96" s="90">
        <v>0</v>
      </c>
      <c r="O96" s="95">
        <f>SUM(G96:N96)</f>
        <v>609</v>
      </c>
    </row>
    <row r="97" spans="2:15" x14ac:dyDescent="0.4">
      <c r="C97" s="9" t="s">
        <v>152</v>
      </c>
      <c r="D97" s="53">
        <v>7.0999999999999994E-2</v>
      </c>
      <c r="F97" s="19" t="s">
        <v>151</v>
      </c>
      <c r="G97" s="94">
        <v>6</v>
      </c>
      <c r="H97" s="89">
        <v>9</v>
      </c>
      <c r="I97" s="89">
        <v>11</v>
      </c>
      <c r="J97" s="89">
        <v>20</v>
      </c>
      <c r="K97" s="89">
        <v>46</v>
      </c>
      <c r="L97" s="89">
        <v>47</v>
      </c>
      <c r="M97" s="69">
        <v>15</v>
      </c>
      <c r="N97" s="90">
        <v>2</v>
      </c>
      <c r="O97" s="95">
        <f>SUM(G97:N97)</f>
        <v>156</v>
      </c>
    </row>
    <row r="98" spans="2:15" x14ac:dyDescent="0.4">
      <c r="F98" s="13" t="s">
        <v>23</v>
      </c>
      <c r="G98" s="94">
        <f t="shared" ref="G98:O98" si="6">SUM(G95:G97)</f>
        <v>207</v>
      </c>
      <c r="H98" s="94">
        <f t="shared" si="6"/>
        <v>317</v>
      </c>
      <c r="I98" s="94">
        <f t="shared" si="6"/>
        <v>432</v>
      </c>
      <c r="J98" s="94">
        <f t="shared" si="6"/>
        <v>421</v>
      </c>
      <c r="K98" s="94">
        <f t="shared" si="6"/>
        <v>355</v>
      </c>
      <c r="L98" s="94">
        <f t="shared" si="6"/>
        <v>326</v>
      </c>
      <c r="M98" s="94">
        <f t="shared" si="6"/>
        <v>139</v>
      </c>
      <c r="N98" s="94">
        <f t="shared" si="6"/>
        <v>8</v>
      </c>
      <c r="O98" s="94">
        <f t="shared" si="6"/>
        <v>2205</v>
      </c>
    </row>
    <row r="100" spans="2:15" x14ac:dyDescent="0.4">
      <c r="G100" s="47" t="s">
        <v>31</v>
      </c>
      <c r="H100" s="47" t="s">
        <v>30</v>
      </c>
      <c r="I100" s="47" t="s">
        <v>29</v>
      </c>
      <c r="J100" s="47" t="s">
        <v>28</v>
      </c>
      <c r="K100" s="47" t="s">
        <v>27</v>
      </c>
      <c r="L100" s="47" t="s">
        <v>26</v>
      </c>
      <c r="M100" s="47" t="s">
        <v>25</v>
      </c>
      <c r="N100" s="47" t="s">
        <v>63</v>
      </c>
    </row>
    <row r="101" spans="2:15" x14ac:dyDescent="0.4">
      <c r="G101" s="75">
        <v>0.628</v>
      </c>
      <c r="H101" s="75">
        <v>0.59299999999999997</v>
      </c>
      <c r="I101" s="75">
        <v>0.64400000000000002</v>
      </c>
      <c r="J101" s="75">
        <v>0.65300000000000002</v>
      </c>
      <c r="K101" s="75">
        <v>0.625</v>
      </c>
      <c r="L101" s="75">
        <v>0.71199999999999997</v>
      </c>
      <c r="M101" s="75">
        <v>0.78400000000000003</v>
      </c>
      <c r="N101" s="75">
        <v>0.75</v>
      </c>
    </row>
    <row r="102" spans="2:15" x14ac:dyDescent="0.4">
      <c r="G102" s="75"/>
      <c r="H102" s="75"/>
      <c r="I102" s="75"/>
      <c r="J102" s="75"/>
      <c r="K102" s="75"/>
      <c r="L102" s="75"/>
      <c r="M102" s="75"/>
      <c r="N102" s="75"/>
    </row>
    <row r="103" spans="2:15" x14ac:dyDescent="0.4">
      <c r="K103" s="77"/>
    </row>
    <row r="105" spans="2:15" x14ac:dyDescent="0.4">
      <c r="B105" s="9" t="s">
        <v>134</v>
      </c>
      <c r="O105" s="26"/>
    </row>
    <row r="106" spans="2:15" x14ac:dyDescent="0.4">
      <c r="O106" s="26" t="s">
        <v>32</v>
      </c>
    </row>
    <row r="107" spans="2:15" x14ac:dyDescent="0.4">
      <c r="B107" s="28"/>
      <c r="C107" s="9" t="s">
        <v>22</v>
      </c>
      <c r="D107" s="53"/>
      <c r="F107" s="25"/>
      <c r="G107" s="23" t="s">
        <v>31</v>
      </c>
      <c r="H107" s="22" t="s">
        <v>30</v>
      </c>
      <c r="I107" s="22" t="s">
        <v>29</v>
      </c>
      <c r="J107" s="22" t="s">
        <v>28</v>
      </c>
      <c r="K107" s="22" t="s">
        <v>27</v>
      </c>
      <c r="L107" s="22" t="s">
        <v>26</v>
      </c>
      <c r="M107" s="24" t="s">
        <v>25</v>
      </c>
      <c r="N107" s="23" t="s">
        <v>24</v>
      </c>
      <c r="O107" s="22" t="s">
        <v>23</v>
      </c>
    </row>
    <row r="108" spans="2:15" x14ac:dyDescent="0.4">
      <c r="C108" s="9" t="s">
        <v>75</v>
      </c>
      <c r="D108" s="53">
        <v>0.875</v>
      </c>
      <c r="F108" s="21">
        <v>1</v>
      </c>
      <c r="G108" s="90">
        <v>191</v>
      </c>
      <c r="H108" s="95">
        <v>291</v>
      </c>
      <c r="I108" s="95">
        <v>383</v>
      </c>
      <c r="J108" s="95">
        <v>371</v>
      </c>
      <c r="K108" s="95">
        <v>296</v>
      </c>
      <c r="L108" s="95">
        <v>276</v>
      </c>
      <c r="M108" s="96">
        <v>115</v>
      </c>
      <c r="N108" s="90">
        <v>6</v>
      </c>
      <c r="O108" s="95">
        <f>SUM(G108:N108)</f>
        <v>1929</v>
      </c>
    </row>
    <row r="109" spans="2:15" x14ac:dyDescent="0.4">
      <c r="C109" s="9" t="s">
        <v>172</v>
      </c>
      <c r="D109" s="53">
        <v>6.2E-2</v>
      </c>
      <c r="F109" s="21">
        <v>2</v>
      </c>
      <c r="G109" s="90">
        <v>9</v>
      </c>
      <c r="H109" s="95">
        <v>17</v>
      </c>
      <c r="I109" s="95">
        <v>39</v>
      </c>
      <c r="J109" s="95">
        <v>30</v>
      </c>
      <c r="K109" s="95">
        <v>18</v>
      </c>
      <c r="L109" s="95">
        <v>16</v>
      </c>
      <c r="M109" s="96">
        <v>8</v>
      </c>
      <c r="N109" s="90">
        <v>0</v>
      </c>
      <c r="O109" s="95">
        <f>SUM(G109:N109)</f>
        <v>137</v>
      </c>
    </row>
    <row r="110" spans="2:15" x14ac:dyDescent="0.4">
      <c r="C110" s="9" t="s">
        <v>152</v>
      </c>
      <c r="D110" s="53">
        <v>6.3E-2</v>
      </c>
      <c r="F110" s="19" t="s">
        <v>151</v>
      </c>
      <c r="G110" s="94">
        <v>7</v>
      </c>
      <c r="H110" s="89">
        <v>9</v>
      </c>
      <c r="I110" s="89">
        <v>10</v>
      </c>
      <c r="J110" s="89">
        <v>20</v>
      </c>
      <c r="K110" s="89">
        <v>41</v>
      </c>
      <c r="L110" s="89">
        <v>34</v>
      </c>
      <c r="M110" s="69">
        <v>16</v>
      </c>
      <c r="N110" s="90">
        <v>2</v>
      </c>
      <c r="O110" s="95">
        <f>SUM(G110:N110)</f>
        <v>139</v>
      </c>
    </row>
    <row r="111" spans="2:15" x14ac:dyDescent="0.4">
      <c r="F111" s="13" t="s">
        <v>23</v>
      </c>
      <c r="G111" s="94">
        <f t="shared" ref="G111:O111" si="7">SUM(G108:G110)</f>
        <v>207</v>
      </c>
      <c r="H111" s="94">
        <f t="shared" si="7"/>
        <v>317</v>
      </c>
      <c r="I111" s="94">
        <f t="shared" si="7"/>
        <v>432</v>
      </c>
      <c r="J111" s="94">
        <f t="shared" si="7"/>
        <v>421</v>
      </c>
      <c r="K111" s="94">
        <f t="shared" si="7"/>
        <v>355</v>
      </c>
      <c r="L111" s="94">
        <f t="shared" si="7"/>
        <v>326</v>
      </c>
      <c r="M111" s="94">
        <f t="shared" si="7"/>
        <v>139</v>
      </c>
      <c r="N111" s="94">
        <f t="shared" si="7"/>
        <v>8</v>
      </c>
      <c r="O111" s="94">
        <f t="shared" si="7"/>
        <v>2205</v>
      </c>
    </row>
    <row r="113" spans="2:15" x14ac:dyDescent="0.4">
      <c r="G113" s="47" t="s">
        <v>31</v>
      </c>
      <c r="H113" s="47" t="s">
        <v>30</v>
      </c>
      <c r="I113" s="47" t="s">
        <v>29</v>
      </c>
      <c r="J113" s="47" t="s">
        <v>28</v>
      </c>
      <c r="K113" s="47" t="s">
        <v>27</v>
      </c>
      <c r="L113" s="47" t="s">
        <v>26</v>
      </c>
      <c r="M113" s="47" t="s">
        <v>25</v>
      </c>
      <c r="N113" s="47" t="s">
        <v>63</v>
      </c>
    </row>
    <row r="114" spans="2:15" x14ac:dyDescent="0.4">
      <c r="G114" s="75">
        <v>0.92300000000000004</v>
      </c>
      <c r="H114" s="75">
        <v>0.91800000000000004</v>
      </c>
      <c r="I114" s="75">
        <v>0.88700000000000001</v>
      </c>
      <c r="J114" s="75">
        <v>0.88100000000000001</v>
      </c>
      <c r="K114" s="75">
        <v>0.83399999999999996</v>
      </c>
      <c r="L114" s="75">
        <v>0.84699999999999998</v>
      </c>
      <c r="M114" s="75">
        <v>0.82699999999999996</v>
      </c>
      <c r="N114" s="75">
        <v>0.75</v>
      </c>
    </row>
    <row r="115" spans="2:15" ht="14.25" customHeight="1" x14ac:dyDescent="0.4">
      <c r="O115" s="26"/>
    </row>
    <row r="116" spans="2:15" ht="14.25" customHeight="1" x14ac:dyDescent="0.4">
      <c r="O116" s="26"/>
    </row>
    <row r="117" spans="2:15" ht="14.25" customHeight="1" x14ac:dyDescent="0.4">
      <c r="O117" s="26"/>
    </row>
    <row r="118" spans="2:15" ht="14.25" customHeight="1" x14ac:dyDescent="0.4">
      <c r="B118" s="9" t="s">
        <v>60</v>
      </c>
      <c r="O118" s="26"/>
    </row>
    <row r="119" spans="2:15" ht="14.25" customHeight="1" x14ac:dyDescent="0.4">
      <c r="O119" s="26" t="s">
        <v>59</v>
      </c>
    </row>
    <row r="120" spans="2:15" ht="14.25" customHeight="1" x14ac:dyDescent="0.4">
      <c r="F120" s="25"/>
      <c r="G120" s="23" t="s">
        <v>31</v>
      </c>
      <c r="H120" s="22" t="s">
        <v>30</v>
      </c>
      <c r="I120" s="22" t="s">
        <v>29</v>
      </c>
      <c r="J120" s="22" t="s">
        <v>28</v>
      </c>
      <c r="K120" s="22" t="s">
        <v>27</v>
      </c>
      <c r="L120" s="22" t="s">
        <v>26</v>
      </c>
      <c r="M120" s="24" t="s">
        <v>25</v>
      </c>
      <c r="N120" s="23" t="s">
        <v>24</v>
      </c>
      <c r="O120" s="22" t="s">
        <v>23</v>
      </c>
    </row>
    <row r="121" spans="2:15" x14ac:dyDescent="0.4">
      <c r="F121" s="45" t="s">
        <v>58</v>
      </c>
      <c r="G121" s="90">
        <v>199</v>
      </c>
      <c r="H121" s="95">
        <v>311</v>
      </c>
      <c r="I121" s="95">
        <v>406</v>
      </c>
      <c r="J121" s="95">
        <v>386</v>
      </c>
      <c r="K121" s="95">
        <v>324</v>
      </c>
      <c r="L121" s="95">
        <v>269</v>
      </c>
      <c r="M121" s="96">
        <v>109</v>
      </c>
      <c r="N121" s="90">
        <v>6</v>
      </c>
      <c r="O121" s="95">
        <f>SUM(G121:N121)</f>
        <v>2010</v>
      </c>
    </row>
    <row r="122" spans="2:15" x14ac:dyDescent="0.4">
      <c r="F122" s="21" t="s">
        <v>151</v>
      </c>
      <c r="G122" s="90">
        <v>8</v>
      </c>
      <c r="H122" s="95">
        <v>6</v>
      </c>
      <c r="I122" s="95">
        <v>26</v>
      </c>
      <c r="J122" s="95">
        <v>35</v>
      </c>
      <c r="K122" s="95">
        <v>31</v>
      </c>
      <c r="L122" s="95">
        <v>57</v>
      </c>
      <c r="M122" s="96">
        <v>30</v>
      </c>
      <c r="N122" s="90">
        <v>2</v>
      </c>
      <c r="O122" s="95">
        <f>SUM(G122:N122)</f>
        <v>195</v>
      </c>
    </row>
    <row r="123" spans="2:15" x14ac:dyDescent="0.4">
      <c r="F123" s="13" t="s">
        <v>23</v>
      </c>
      <c r="G123" s="94">
        <f t="shared" ref="G123:N123" si="8">SUM(G121:G122)</f>
        <v>207</v>
      </c>
      <c r="H123" s="94">
        <f t="shared" si="8"/>
        <v>317</v>
      </c>
      <c r="I123" s="94">
        <f t="shared" si="8"/>
        <v>432</v>
      </c>
      <c r="J123" s="94">
        <f t="shared" si="8"/>
        <v>421</v>
      </c>
      <c r="K123" s="94">
        <f t="shared" si="8"/>
        <v>355</v>
      </c>
      <c r="L123" s="94">
        <f t="shared" si="8"/>
        <v>326</v>
      </c>
      <c r="M123" s="94">
        <f t="shared" si="8"/>
        <v>139</v>
      </c>
      <c r="N123" s="94">
        <f t="shared" si="8"/>
        <v>8</v>
      </c>
      <c r="O123" s="89">
        <f>SUM(G123:N123)</f>
        <v>2205</v>
      </c>
    </row>
    <row r="124" spans="2:15" x14ac:dyDescent="0.4">
      <c r="F124" s="45" t="s">
        <v>57</v>
      </c>
      <c r="G124" s="90">
        <v>22</v>
      </c>
      <c r="H124" s="95">
        <v>12</v>
      </c>
      <c r="I124" s="95">
        <v>0</v>
      </c>
      <c r="J124" s="95">
        <v>0</v>
      </c>
      <c r="K124" s="95">
        <v>0</v>
      </c>
      <c r="L124" s="95">
        <v>0</v>
      </c>
      <c r="M124" s="96">
        <v>0</v>
      </c>
      <c r="N124" s="90">
        <v>0</v>
      </c>
      <c r="O124" s="91"/>
    </row>
    <row r="125" spans="2:15" x14ac:dyDescent="0.4">
      <c r="F125" s="43" t="s">
        <v>56</v>
      </c>
      <c r="G125" s="94">
        <v>29</v>
      </c>
      <c r="H125" s="89">
        <v>32</v>
      </c>
      <c r="I125" s="89">
        <v>32</v>
      </c>
      <c r="J125" s="89">
        <v>30</v>
      </c>
      <c r="K125" s="89">
        <v>32</v>
      </c>
      <c r="L125" s="89">
        <v>28</v>
      </c>
      <c r="M125" s="69">
        <v>28</v>
      </c>
      <c r="N125" s="90">
        <v>3</v>
      </c>
      <c r="O125" s="97"/>
    </row>
    <row r="126" spans="2:15" x14ac:dyDescent="0.4">
      <c r="F126" s="42" t="s">
        <v>55</v>
      </c>
      <c r="G126" s="101">
        <v>27.57</v>
      </c>
      <c r="H126" s="100">
        <v>27.15</v>
      </c>
      <c r="I126" s="100">
        <v>26</v>
      </c>
      <c r="J126" s="100">
        <v>22.44</v>
      </c>
      <c r="K126" s="100">
        <v>18.5</v>
      </c>
      <c r="L126" s="100">
        <v>14.38</v>
      </c>
      <c r="M126" s="99">
        <v>7.81</v>
      </c>
      <c r="N126" s="98">
        <v>1</v>
      </c>
      <c r="O126" s="97"/>
    </row>
    <row r="127" spans="2:15" x14ac:dyDescent="0.4">
      <c r="B127" s="9" t="s">
        <v>54</v>
      </c>
    </row>
    <row r="128" spans="2:15" x14ac:dyDescent="0.4">
      <c r="B128" s="9" t="s">
        <v>133</v>
      </c>
    </row>
    <row r="129" spans="2:15" x14ac:dyDescent="0.4">
      <c r="B129" s="9" t="s">
        <v>132</v>
      </c>
      <c r="F129" s="9" t="s">
        <v>171</v>
      </c>
      <c r="I129" s="9" t="s">
        <v>170</v>
      </c>
    </row>
    <row r="130" spans="2:15" x14ac:dyDescent="0.4">
      <c r="F130" s="9" t="s">
        <v>48</v>
      </c>
      <c r="G130" s="9">
        <v>416</v>
      </c>
      <c r="I130" s="9" t="s">
        <v>48</v>
      </c>
      <c r="J130" s="9">
        <v>237</v>
      </c>
    </row>
    <row r="131" spans="2:15" x14ac:dyDescent="0.4">
      <c r="F131" s="9" t="s">
        <v>46</v>
      </c>
      <c r="G131" s="9">
        <v>7762</v>
      </c>
      <c r="I131" s="9" t="s">
        <v>46</v>
      </c>
      <c r="J131" s="9">
        <v>2008</v>
      </c>
    </row>
    <row r="132" spans="2:15" x14ac:dyDescent="0.4">
      <c r="F132" s="9" t="s">
        <v>45</v>
      </c>
      <c r="G132" s="9">
        <v>18.66</v>
      </c>
      <c r="I132" s="9" t="s">
        <v>45</v>
      </c>
      <c r="J132" s="9">
        <v>8.4700000000000006</v>
      </c>
    </row>
    <row r="133" spans="2:15" x14ac:dyDescent="0.4">
      <c r="F133" s="9" t="s">
        <v>44</v>
      </c>
      <c r="G133" s="9">
        <v>191</v>
      </c>
      <c r="I133" s="9" t="s">
        <v>44</v>
      </c>
      <c r="J133" s="9">
        <v>53</v>
      </c>
    </row>
    <row r="134" spans="2:15" x14ac:dyDescent="0.4">
      <c r="F134" s="9" t="s">
        <v>43</v>
      </c>
      <c r="G134" s="53">
        <v>0.45900000000000002</v>
      </c>
      <c r="I134" s="9" t="s">
        <v>43</v>
      </c>
      <c r="J134" s="53">
        <v>0.224</v>
      </c>
    </row>
    <row r="135" spans="2:15" x14ac:dyDescent="0.4">
      <c r="G135" s="33"/>
      <c r="J135" s="33"/>
    </row>
    <row r="136" spans="2:15" x14ac:dyDescent="0.4">
      <c r="G136" s="33"/>
      <c r="J136" s="33"/>
    </row>
    <row r="137" spans="2:15" x14ac:dyDescent="0.4">
      <c r="G137" s="33"/>
      <c r="J137" s="33"/>
    </row>
    <row r="138" spans="2:15" x14ac:dyDescent="0.4">
      <c r="O138" s="26"/>
    </row>
    <row r="139" spans="2:15" x14ac:dyDescent="0.4">
      <c r="B139" s="9" t="s">
        <v>42</v>
      </c>
      <c r="O139" s="26"/>
    </row>
    <row r="140" spans="2:15" x14ac:dyDescent="0.4">
      <c r="O140" s="26" t="s">
        <v>32</v>
      </c>
    </row>
    <row r="141" spans="2:15" x14ac:dyDescent="0.4">
      <c r="F141" s="25"/>
      <c r="G141" s="23" t="s">
        <v>31</v>
      </c>
      <c r="H141" s="22" t="s">
        <v>30</v>
      </c>
      <c r="I141" s="22" t="s">
        <v>29</v>
      </c>
      <c r="J141" s="22" t="s">
        <v>28</v>
      </c>
      <c r="K141" s="22" t="s">
        <v>27</v>
      </c>
      <c r="L141" s="22" t="s">
        <v>26</v>
      </c>
      <c r="M141" s="24" t="s">
        <v>25</v>
      </c>
      <c r="N141" s="23" t="s">
        <v>24</v>
      </c>
      <c r="O141" s="22" t="s">
        <v>23</v>
      </c>
    </row>
    <row r="142" spans="2:15" x14ac:dyDescent="0.4">
      <c r="C142" s="9" t="s">
        <v>38</v>
      </c>
      <c r="F142" s="21">
        <v>1</v>
      </c>
      <c r="G142" s="90">
        <v>45</v>
      </c>
      <c r="H142" s="95">
        <v>89</v>
      </c>
      <c r="I142" s="95">
        <v>110</v>
      </c>
      <c r="J142" s="95">
        <v>116</v>
      </c>
      <c r="K142" s="95">
        <v>39</v>
      </c>
      <c r="L142" s="95">
        <v>17</v>
      </c>
      <c r="M142" s="96">
        <v>3</v>
      </c>
      <c r="N142" s="90">
        <v>0</v>
      </c>
      <c r="O142" s="95">
        <f>SUM(G142:N142)</f>
        <v>419</v>
      </c>
    </row>
    <row r="143" spans="2:15" x14ac:dyDescent="0.4">
      <c r="C143" s="9" t="s">
        <v>41</v>
      </c>
      <c r="F143" s="21">
        <v>2</v>
      </c>
      <c r="G143" s="90">
        <v>21</v>
      </c>
      <c r="H143" s="95">
        <v>70</v>
      </c>
      <c r="I143" s="95">
        <v>101</v>
      </c>
      <c r="J143" s="95">
        <v>128</v>
      </c>
      <c r="K143" s="95">
        <v>96</v>
      </c>
      <c r="L143" s="95">
        <v>76</v>
      </c>
      <c r="M143" s="96">
        <v>28</v>
      </c>
      <c r="N143" s="90">
        <v>0</v>
      </c>
      <c r="O143" s="95">
        <f>SUM(G143:N143)</f>
        <v>520</v>
      </c>
    </row>
    <row r="144" spans="2:15" x14ac:dyDescent="0.4">
      <c r="C144" s="9" t="s">
        <v>40</v>
      </c>
      <c r="F144" s="21">
        <v>3</v>
      </c>
      <c r="G144" s="90">
        <v>139</v>
      </c>
      <c r="H144" s="95">
        <v>153</v>
      </c>
      <c r="I144" s="95">
        <v>206</v>
      </c>
      <c r="J144" s="95">
        <v>160</v>
      </c>
      <c r="K144" s="95">
        <v>198</v>
      </c>
      <c r="L144" s="95">
        <v>196</v>
      </c>
      <c r="M144" s="96">
        <v>92</v>
      </c>
      <c r="N144" s="90">
        <v>7</v>
      </c>
      <c r="O144" s="95">
        <f>SUM(G144:N144)</f>
        <v>1151</v>
      </c>
    </row>
    <row r="145" spans="3:16" x14ac:dyDescent="0.4">
      <c r="F145" s="19" t="s">
        <v>151</v>
      </c>
      <c r="G145" s="94">
        <v>2</v>
      </c>
      <c r="H145" s="89">
        <v>5</v>
      </c>
      <c r="I145" s="89">
        <v>15</v>
      </c>
      <c r="J145" s="89">
        <v>17</v>
      </c>
      <c r="K145" s="89">
        <v>22</v>
      </c>
      <c r="L145" s="89">
        <v>37</v>
      </c>
      <c r="M145" s="69">
        <v>16</v>
      </c>
      <c r="N145" s="90">
        <v>1</v>
      </c>
      <c r="O145" s="95">
        <f>SUM(G145:N145)</f>
        <v>115</v>
      </c>
    </row>
    <row r="146" spans="3:16" x14ac:dyDescent="0.4">
      <c r="F146" s="13" t="s">
        <v>23</v>
      </c>
      <c r="G146" s="94">
        <f t="shared" ref="G146:N146" si="9">SUM(G142:G145)</f>
        <v>207</v>
      </c>
      <c r="H146" s="94">
        <f t="shared" si="9"/>
        <v>317</v>
      </c>
      <c r="I146" s="94">
        <f t="shared" si="9"/>
        <v>432</v>
      </c>
      <c r="J146" s="94">
        <f t="shared" si="9"/>
        <v>421</v>
      </c>
      <c r="K146" s="94">
        <f t="shared" si="9"/>
        <v>355</v>
      </c>
      <c r="L146" s="94">
        <f t="shared" si="9"/>
        <v>326</v>
      </c>
      <c r="M146" s="94">
        <f t="shared" si="9"/>
        <v>139</v>
      </c>
      <c r="N146" s="94">
        <f t="shared" si="9"/>
        <v>8</v>
      </c>
      <c r="O146" s="89">
        <f>SUM(G146:N146)</f>
        <v>2205</v>
      </c>
    </row>
    <row r="147" spans="3:16" x14ac:dyDescent="0.4">
      <c r="C147" s="9" t="s">
        <v>22</v>
      </c>
      <c r="F147" s="32" t="s">
        <v>39</v>
      </c>
      <c r="G147" s="93">
        <v>0.217</v>
      </c>
      <c r="H147" s="92">
        <v>0.28100000000000003</v>
      </c>
      <c r="I147" s="93">
        <v>0.255</v>
      </c>
      <c r="J147" s="93">
        <v>0.27600000000000002</v>
      </c>
      <c r="K147" s="92">
        <v>0.11</v>
      </c>
      <c r="L147" s="92">
        <v>5.1999999999999998E-2</v>
      </c>
      <c r="M147" s="92">
        <v>2.1999999999999999E-2</v>
      </c>
      <c r="N147" s="92">
        <v>0</v>
      </c>
      <c r="O147" s="91"/>
      <c r="P147" s="27"/>
    </row>
    <row r="148" spans="3:16" x14ac:dyDescent="0.4">
      <c r="C148" s="9" t="s">
        <v>38</v>
      </c>
      <c r="D148" s="53">
        <v>0.19</v>
      </c>
      <c r="I148" s="29"/>
    </row>
    <row r="149" spans="3:16" x14ac:dyDescent="0.4">
      <c r="C149" s="28" t="s">
        <v>37</v>
      </c>
      <c r="D149" s="53">
        <v>0.23599999999999999</v>
      </c>
    </row>
    <row r="150" spans="3:16" x14ac:dyDescent="0.4">
      <c r="C150" s="9" t="s">
        <v>36</v>
      </c>
      <c r="D150" s="53">
        <v>0.52200000000000002</v>
      </c>
      <c r="J150" s="27"/>
    </row>
    <row r="151" spans="3:16" x14ac:dyDescent="0.4">
      <c r="C151" s="47" t="s">
        <v>151</v>
      </c>
      <c r="D151" s="53">
        <v>5.1999999999999998E-2</v>
      </c>
    </row>
    <row r="152" spans="3:16" x14ac:dyDescent="0.4">
      <c r="K152" s="27"/>
    </row>
  </sheetData>
  <phoneticPr fontId="9"/>
  <pageMargins left="0.11811023622047245" right="0.11811023622047245" top="0.78740157480314965" bottom="0.74803149606299213" header="0.31496062992125984" footer="0.31496062992125984"/>
  <pageSetup paperSize="9" scale="65" fitToHeight="3" orientation="portrait" r:id="rId1"/>
  <rowBreaks count="2" manualBreakCount="2">
    <brk id="61" max="16383" man="1"/>
    <brk id="117"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269"/>
  <sheetViews>
    <sheetView view="pageBreakPreview" topLeftCell="A144" zoomScaleNormal="100" zoomScaleSheetLayoutView="100" workbookViewId="0">
      <selection activeCell="E168" sqref="E168"/>
    </sheetView>
  </sheetViews>
  <sheetFormatPr defaultRowHeight="18.75" x14ac:dyDescent="0.4"/>
  <cols>
    <col min="1" max="2" width="9" style="359"/>
    <col min="3" max="3" width="12.75" style="359" customWidth="1"/>
    <col min="4" max="5" width="9" style="359"/>
    <col min="6" max="6" width="9.875" style="359" customWidth="1"/>
    <col min="7" max="7" width="9" style="339" customWidth="1"/>
    <col min="8" max="16384" width="9" style="359"/>
  </cols>
  <sheetData>
    <row r="1" spans="1:16" ht="26.25" customHeight="1" x14ac:dyDescent="0.4">
      <c r="B1" s="332" t="s">
        <v>255</v>
      </c>
      <c r="C1" s="334"/>
      <c r="D1" s="334"/>
      <c r="E1" s="334"/>
      <c r="F1" s="334"/>
      <c r="G1" s="407"/>
      <c r="H1" s="334"/>
      <c r="I1" s="334"/>
      <c r="J1" s="334"/>
      <c r="K1" s="334"/>
      <c r="L1" s="334"/>
    </row>
    <row r="2" spans="1:16" ht="15" customHeight="1" x14ac:dyDescent="0.4">
      <c r="B2" s="408"/>
    </row>
    <row r="3" spans="1:16" ht="18" customHeight="1" x14ac:dyDescent="0.4">
      <c r="B3" s="333" t="s">
        <v>111</v>
      </c>
    </row>
    <row r="4" spans="1:16" ht="15" customHeight="1" x14ac:dyDescent="0.4">
      <c r="B4" s="334" t="s">
        <v>290</v>
      </c>
      <c r="C4" s="334"/>
      <c r="D4" s="334"/>
      <c r="E4" s="334"/>
      <c r="F4" s="334"/>
      <c r="G4" s="407"/>
      <c r="H4" s="334"/>
      <c r="I4" s="334"/>
    </row>
    <row r="5" spans="1:16" ht="15" customHeight="1" x14ac:dyDescent="0.4">
      <c r="B5" s="334" t="s">
        <v>308</v>
      </c>
      <c r="C5" s="334"/>
      <c r="D5" s="334"/>
      <c r="E5" s="334"/>
      <c r="F5" s="334"/>
      <c r="G5" s="407"/>
      <c r="H5" s="334"/>
      <c r="I5" s="334"/>
    </row>
    <row r="6" spans="1:16" ht="15" customHeight="1" x14ac:dyDescent="0.4">
      <c r="A6" s="359" t="s">
        <v>108</v>
      </c>
      <c r="B6" s="334" t="s">
        <v>293</v>
      </c>
      <c r="C6" s="334"/>
      <c r="D6" s="334"/>
      <c r="E6" s="334"/>
      <c r="F6" s="334"/>
      <c r="G6" s="407"/>
      <c r="H6" s="334"/>
      <c r="I6" s="334"/>
    </row>
    <row r="7" spans="1:16" ht="13.5" customHeight="1" x14ac:dyDescent="0.4">
      <c r="B7" s="341"/>
    </row>
    <row r="8" spans="1:16" ht="18" customHeight="1" x14ac:dyDescent="0.4">
      <c r="B8" s="333" t="s">
        <v>106</v>
      </c>
      <c r="C8" s="341"/>
      <c r="D8" s="341"/>
      <c r="E8" s="341"/>
      <c r="F8" s="341"/>
      <c r="H8" s="341"/>
      <c r="I8" s="341"/>
      <c r="J8" s="341"/>
      <c r="K8" s="341"/>
      <c r="L8" s="341"/>
      <c r="M8" s="341"/>
      <c r="N8" s="341"/>
      <c r="O8" s="341"/>
      <c r="P8" s="341"/>
    </row>
    <row r="9" spans="1:16" x14ac:dyDescent="0.4">
      <c r="B9" s="341" t="s">
        <v>105</v>
      </c>
      <c r="C9" s="341"/>
      <c r="D9" s="341"/>
      <c r="E9" s="341"/>
      <c r="F9" s="341"/>
      <c r="H9" s="341"/>
      <c r="I9" s="341"/>
      <c r="J9" s="341"/>
      <c r="K9" s="341"/>
      <c r="L9" s="341"/>
      <c r="M9" s="341"/>
      <c r="N9" s="341"/>
      <c r="O9" s="341"/>
      <c r="P9" s="342" t="s">
        <v>32</v>
      </c>
    </row>
    <row r="10" spans="1:16" ht="9" customHeight="1" x14ac:dyDescent="0.4">
      <c r="B10" s="341"/>
      <c r="C10" s="341"/>
      <c r="D10" s="341"/>
      <c r="E10" s="341"/>
      <c r="F10" s="343"/>
      <c r="G10" s="344"/>
      <c r="H10" s="341"/>
      <c r="I10" s="341"/>
      <c r="J10" s="341"/>
      <c r="K10" s="341"/>
      <c r="L10" s="341"/>
      <c r="M10" s="341"/>
      <c r="N10" s="341"/>
      <c r="O10" s="341"/>
      <c r="P10" s="342"/>
    </row>
    <row r="11" spans="1:16" x14ac:dyDescent="0.4">
      <c r="B11" s="339" t="s">
        <v>104</v>
      </c>
      <c r="C11" s="340">
        <f>P12</f>
        <v>2851</v>
      </c>
      <c r="D11" s="370">
        <f>P12/$P$14</f>
        <v>0.42936746987951807</v>
      </c>
      <c r="E11" s="345"/>
      <c r="F11" s="346"/>
      <c r="G11" s="347" t="s">
        <v>218</v>
      </c>
      <c r="H11" s="348" t="s">
        <v>31</v>
      </c>
      <c r="I11" s="349" t="s">
        <v>30</v>
      </c>
      <c r="J11" s="349" t="s">
        <v>29</v>
      </c>
      <c r="K11" s="349" t="s">
        <v>28</v>
      </c>
      <c r="L11" s="349" t="s">
        <v>27</v>
      </c>
      <c r="M11" s="349" t="s">
        <v>26</v>
      </c>
      <c r="N11" s="350" t="s">
        <v>25</v>
      </c>
      <c r="O11" s="348" t="s">
        <v>24</v>
      </c>
      <c r="P11" s="349" t="s">
        <v>23</v>
      </c>
    </row>
    <row r="12" spans="1:16" x14ac:dyDescent="0.4">
      <c r="B12" s="339" t="s">
        <v>102</v>
      </c>
      <c r="C12" s="340">
        <f>P13</f>
        <v>3789</v>
      </c>
      <c r="D12" s="370">
        <f>P13/$P$14</f>
        <v>0.57063253012048187</v>
      </c>
      <c r="E12" s="345"/>
      <c r="F12" s="347" t="s">
        <v>100</v>
      </c>
      <c r="G12" s="335">
        <v>12</v>
      </c>
      <c r="H12" s="336">
        <v>207</v>
      </c>
      <c r="I12" s="337">
        <v>288</v>
      </c>
      <c r="J12" s="337">
        <v>423</v>
      </c>
      <c r="K12" s="337">
        <v>493</v>
      </c>
      <c r="L12" s="337">
        <v>467</v>
      </c>
      <c r="M12" s="337">
        <v>717</v>
      </c>
      <c r="N12" s="338">
        <v>227</v>
      </c>
      <c r="O12" s="336">
        <v>17</v>
      </c>
      <c r="P12" s="351">
        <f>SUM(G12:O12)</f>
        <v>2851</v>
      </c>
    </row>
    <row r="13" spans="1:16" x14ac:dyDescent="0.4">
      <c r="B13" s="339" t="s">
        <v>99</v>
      </c>
      <c r="C13" s="340">
        <f>SUM(C11:C12)</f>
        <v>6640</v>
      </c>
      <c r="D13" s="341"/>
      <c r="E13" s="352"/>
      <c r="F13" s="347" t="s">
        <v>97</v>
      </c>
      <c r="G13" s="335">
        <v>7</v>
      </c>
      <c r="H13" s="336">
        <v>189</v>
      </c>
      <c r="I13" s="337">
        <v>277</v>
      </c>
      <c r="J13" s="337">
        <v>470</v>
      </c>
      <c r="K13" s="337">
        <v>543</v>
      </c>
      <c r="L13" s="337">
        <v>833</v>
      </c>
      <c r="M13" s="337">
        <v>1087</v>
      </c>
      <c r="N13" s="338">
        <v>347</v>
      </c>
      <c r="O13" s="336">
        <v>36</v>
      </c>
      <c r="P13" s="351">
        <f>SUM(G13:O13)</f>
        <v>3789</v>
      </c>
    </row>
    <row r="14" spans="1:16" x14ac:dyDescent="0.4">
      <c r="B14" s="341"/>
      <c r="C14" s="341"/>
      <c r="D14" s="341"/>
      <c r="E14" s="353"/>
      <c r="F14" s="348" t="s">
        <v>23</v>
      </c>
      <c r="G14" s="354">
        <f t="shared" ref="G14:O14" si="0">SUM(G12:G13)</f>
        <v>19</v>
      </c>
      <c r="H14" s="354">
        <f t="shared" si="0"/>
        <v>396</v>
      </c>
      <c r="I14" s="354">
        <f t="shared" si="0"/>
        <v>565</v>
      </c>
      <c r="J14" s="354">
        <f t="shared" si="0"/>
        <v>893</v>
      </c>
      <c r="K14" s="354">
        <f t="shared" si="0"/>
        <v>1036</v>
      </c>
      <c r="L14" s="354">
        <f t="shared" si="0"/>
        <v>1300</v>
      </c>
      <c r="M14" s="354">
        <f t="shared" si="0"/>
        <v>1804</v>
      </c>
      <c r="N14" s="354">
        <f t="shared" si="0"/>
        <v>574</v>
      </c>
      <c r="O14" s="354">
        <f t="shared" si="0"/>
        <v>53</v>
      </c>
      <c r="P14" s="351">
        <f>SUM(G14:O14)</f>
        <v>6640</v>
      </c>
    </row>
    <row r="15" spans="1:16" x14ac:dyDescent="0.4">
      <c r="B15" s="339" t="s">
        <v>96</v>
      </c>
      <c r="C15" s="334">
        <v>18</v>
      </c>
      <c r="D15" s="341"/>
      <c r="E15" s="341"/>
      <c r="F15" s="355" t="s">
        <v>94</v>
      </c>
      <c r="G15" s="356">
        <f>G14/$P$14</f>
        <v>2.86144578313253E-3</v>
      </c>
      <c r="H15" s="356">
        <f>H14/$P$14</f>
        <v>5.9638554216867472E-2</v>
      </c>
      <c r="I15" s="356">
        <f t="shared" ref="I15:O15" si="1">I14/$P$14</f>
        <v>8.5090361445783136E-2</v>
      </c>
      <c r="J15" s="356">
        <f t="shared" si="1"/>
        <v>0.13448795180722892</v>
      </c>
      <c r="K15" s="356">
        <f t="shared" si="1"/>
        <v>0.15602409638554218</v>
      </c>
      <c r="L15" s="356">
        <f>L14/$P$14</f>
        <v>0.19578313253012047</v>
      </c>
      <c r="M15" s="356">
        <f t="shared" si="1"/>
        <v>0.27168674698795181</v>
      </c>
      <c r="N15" s="356">
        <f t="shared" si="1"/>
        <v>8.6445783132530124E-2</v>
      </c>
      <c r="O15" s="356">
        <f t="shared" si="1"/>
        <v>7.9819277108433735E-3</v>
      </c>
      <c r="P15" s="357"/>
    </row>
    <row r="16" spans="1:16" x14ac:dyDescent="0.4">
      <c r="B16" s="339" t="s">
        <v>93</v>
      </c>
      <c r="C16" s="334">
        <v>101</v>
      </c>
      <c r="D16" s="341"/>
      <c r="H16" s="409"/>
      <c r="I16" s="410"/>
      <c r="J16" s="410"/>
      <c r="K16" s="410"/>
      <c r="L16" s="410"/>
      <c r="M16" s="410"/>
      <c r="N16" s="410"/>
      <c r="O16" s="411"/>
    </row>
    <row r="17" spans="2:16" x14ac:dyDescent="0.4">
      <c r="B17" s="358" t="s">
        <v>91</v>
      </c>
      <c r="C17" s="334">
        <v>59.8</v>
      </c>
      <c r="D17" s="341"/>
      <c r="O17" s="353"/>
    </row>
    <row r="18" spans="2:16" x14ac:dyDescent="0.4">
      <c r="N18" s="353"/>
    </row>
    <row r="19" spans="2:16" x14ac:dyDescent="0.4">
      <c r="B19" s="341" t="s">
        <v>89</v>
      </c>
      <c r="C19" s="341"/>
      <c r="D19" s="341"/>
      <c r="E19" s="341"/>
      <c r="F19" s="341"/>
      <c r="H19" s="341"/>
      <c r="P19" s="342" t="s">
        <v>32</v>
      </c>
    </row>
    <row r="20" spans="2:16" x14ac:dyDescent="0.4">
      <c r="P20" s="342"/>
    </row>
    <row r="21" spans="2:16" ht="21.75" customHeight="1" x14ac:dyDescent="0.4">
      <c r="F21" s="346"/>
      <c r="G21" s="347" t="s">
        <v>218</v>
      </c>
      <c r="H21" s="348" t="s">
        <v>31</v>
      </c>
      <c r="I21" s="349" t="s">
        <v>30</v>
      </c>
      <c r="J21" s="349" t="s">
        <v>29</v>
      </c>
      <c r="K21" s="349" t="s">
        <v>28</v>
      </c>
      <c r="L21" s="349" t="s">
        <v>27</v>
      </c>
      <c r="M21" s="349" t="s">
        <v>26</v>
      </c>
      <c r="N21" s="350" t="s">
        <v>25</v>
      </c>
      <c r="O21" s="348" t="s">
        <v>24</v>
      </c>
      <c r="P21" s="349" t="s">
        <v>23</v>
      </c>
    </row>
    <row r="22" spans="2:16" x14ac:dyDescent="0.4">
      <c r="C22" s="341" t="s">
        <v>88</v>
      </c>
      <c r="D22" s="341"/>
      <c r="E22" s="341"/>
      <c r="F22" s="347">
        <v>1</v>
      </c>
      <c r="G22" s="335">
        <v>1</v>
      </c>
      <c r="H22" s="336">
        <v>80</v>
      </c>
      <c r="I22" s="337">
        <v>126</v>
      </c>
      <c r="J22" s="337">
        <v>196</v>
      </c>
      <c r="K22" s="337">
        <v>297</v>
      </c>
      <c r="L22" s="337">
        <v>463</v>
      </c>
      <c r="M22" s="337">
        <v>667</v>
      </c>
      <c r="N22" s="338">
        <v>236</v>
      </c>
      <c r="O22" s="336">
        <v>17</v>
      </c>
      <c r="P22" s="351">
        <f t="shared" ref="P22:P27" si="2">SUM(G22:O22)</f>
        <v>2083</v>
      </c>
    </row>
    <row r="23" spans="2:16" x14ac:dyDescent="0.4">
      <c r="C23" s="341" t="s">
        <v>87</v>
      </c>
      <c r="D23" s="341"/>
      <c r="E23" s="341"/>
      <c r="F23" s="347">
        <v>2</v>
      </c>
      <c r="G23" s="335">
        <v>4</v>
      </c>
      <c r="H23" s="336">
        <v>77</v>
      </c>
      <c r="I23" s="337">
        <v>148</v>
      </c>
      <c r="J23" s="337">
        <v>226</v>
      </c>
      <c r="K23" s="337">
        <v>199</v>
      </c>
      <c r="L23" s="337">
        <v>213</v>
      </c>
      <c r="M23" s="337">
        <v>274</v>
      </c>
      <c r="N23" s="338">
        <v>59</v>
      </c>
      <c r="O23" s="336">
        <v>4</v>
      </c>
      <c r="P23" s="351">
        <f t="shared" si="2"/>
        <v>1204</v>
      </c>
    </row>
    <row r="24" spans="2:16" x14ac:dyDescent="0.4">
      <c r="C24" s="341" t="s">
        <v>86</v>
      </c>
      <c r="D24" s="341"/>
      <c r="E24" s="341"/>
      <c r="F24" s="347">
        <v>3</v>
      </c>
      <c r="G24" s="335">
        <v>4</v>
      </c>
      <c r="H24" s="336">
        <v>95</v>
      </c>
      <c r="I24" s="337">
        <v>127</v>
      </c>
      <c r="J24" s="337">
        <v>222</v>
      </c>
      <c r="K24" s="337">
        <v>197</v>
      </c>
      <c r="L24" s="337">
        <v>208</v>
      </c>
      <c r="M24" s="337">
        <v>217</v>
      </c>
      <c r="N24" s="338">
        <v>49</v>
      </c>
      <c r="O24" s="336">
        <v>4</v>
      </c>
      <c r="P24" s="351">
        <f t="shared" si="2"/>
        <v>1123</v>
      </c>
    </row>
    <row r="25" spans="2:16" x14ac:dyDescent="0.4">
      <c r="C25" s="341" t="s">
        <v>85</v>
      </c>
      <c r="D25" s="341"/>
      <c r="E25" s="341"/>
      <c r="F25" s="360">
        <v>4</v>
      </c>
      <c r="G25" s="335">
        <v>9</v>
      </c>
      <c r="H25" s="361">
        <v>142</v>
      </c>
      <c r="I25" s="362">
        <v>164</v>
      </c>
      <c r="J25" s="362">
        <v>248</v>
      </c>
      <c r="K25" s="362">
        <v>343</v>
      </c>
      <c r="L25" s="362">
        <v>407</v>
      </c>
      <c r="M25" s="362">
        <v>618</v>
      </c>
      <c r="N25" s="363">
        <v>210</v>
      </c>
      <c r="O25" s="336">
        <v>23</v>
      </c>
      <c r="P25" s="351">
        <f t="shared" si="2"/>
        <v>2164</v>
      </c>
    </row>
    <row r="26" spans="2:16" x14ac:dyDescent="0.4">
      <c r="F26" s="364" t="s">
        <v>18</v>
      </c>
      <c r="G26" s="335">
        <v>1</v>
      </c>
      <c r="H26" s="361">
        <v>2</v>
      </c>
      <c r="I26" s="362">
        <v>0</v>
      </c>
      <c r="J26" s="362">
        <v>1</v>
      </c>
      <c r="K26" s="362">
        <v>0</v>
      </c>
      <c r="L26" s="362">
        <v>9</v>
      </c>
      <c r="M26" s="362">
        <v>28</v>
      </c>
      <c r="N26" s="363">
        <v>20</v>
      </c>
      <c r="O26" s="336">
        <v>5</v>
      </c>
      <c r="P26" s="351">
        <f t="shared" si="2"/>
        <v>66</v>
      </c>
    </row>
    <row r="27" spans="2:16" x14ac:dyDescent="0.4">
      <c r="B27" s="341" t="s">
        <v>54</v>
      </c>
      <c r="F27" s="365" t="s">
        <v>23</v>
      </c>
      <c r="G27" s="366">
        <f>SUM(G22:G26)</f>
        <v>19</v>
      </c>
      <c r="H27" s="366">
        <f>SUM(H22:H26)</f>
        <v>396</v>
      </c>
      <c r="I27" s="366">
        <f t="shared" ref="I27:O27" si="3">SUM(I22:I26)</f>
        <v>565</v>
      </c>
      <c r="J27" s="366">
        <f t="shared" si="3"/>
        <v>893</v>
      </c>
      <c r="K27" s="366">
        <f t="shared" si="3"/>
        <v>1036</v>
      </c>
      <c r="L27" s="366">
        <f t="shared" si="3"/>
        <v>1300</v>
      </c>
      <c r="M27" s="366">
        <f t="shared" si="3"/>
        <v>1804</v>
      </c>
      <c r="N27" s="366">
        <f t="shared" si="3"/>
        <v>574</v>
      </c>
      <c r="O27" s="366">
        <f t="shared" si="3"/>
        <v>53</v>
      </c>
      <c r="P27" s="351">
        <f t="shared" si="2"/>
        <v>6640</v>
      </c>
    </row>
    <row r="28" spans="2:16" x14ac:dyDescent="0.4">
      <c r="B28" s="341" t="s">
        <v>256</v>
      </c>
    </row>
    <row r="29" spans="2:16" x14ac:dyDescent="0.4">
      <c r="B29" s="341"/>
      <c r="D29" s="341" t="s">
        <v>258</v>
      </c>
      <c r="G29" s="339" t="s">
        <v>218</v>
      </c>
      <c r="H29" s="339" t="s">
        <v>31</v>
      </c>
      <c r="I29" s="339" t="s">
        <v>30</v>
      </c>
      <c r="J29" s="339" t="s">
        <v>29</v>
      </c>
      <c r="K29" s="339" t="s">
        <v>28</v>
      </c>
      <c r="L29" s="339" t="s">
        <v>27</v>
      </c>
      <c r="M29" s="339" t="s">
        <v>26</v>
      </c>
      <c r="N29" s="339" t="s">
        <v>25</v>
      </c>
      <c r="O29" s="339" t="s">
        <v>63</v>
      </c>
    </row>
    <row r="30" spans="2:16" x14ac:dyDescent="0.4">
      <c r="B30" s="341" t="s">
        <v>257</v>
      </c>
      <c r="D30" s="341"/>
      <c r="G30" s="367">
        <f>SUM(G22:G24)/G27</f>
        <v>0.47368421052631576</v>
      </c>
      <c r="H30" s="367">
        <f>SUM(H22:H24)/H27</f>
        <v>0.63636363636363635</v>
      </c>
      <c r="I30" s="367">
        <f t="shared" ref="I30:O30" si="4">SUM(I22:I24)/I27</f>
        <v>0.70973451327433623</v>
      </c>
      <c r="J30" s="367">
        <f>SUM(J22:J24)/J27</f>
        <v>0.72116461366181406</v>
      </c>
      <c r="K30" s="367">
        <f t="shared" si="4"/>
        <v>0.66891891891891897</v>
      </c>
      <c r="L30" s="367">
        <f t="shared" si="4"/>
        <v>0.68</v>
      </c>
      <c r="M30" s="367">
        <f t="shared" si="4"/>
        <v>0.64190687361419074</v>
      </c>
      <c r="N30" s="367">
        <f t="shared" si="4"/>
        <v>0.5993031358885017</v>
      </c>
      <c r="O30" s="367">
        <f t="shared" si="4"/>
        <v>0.47169811320754718</v>
      </c>
    </row>
    <row r="31" spans="2:16" x14ac:dyDescent="0.4">
      <c r="B31" s="341"/>
      <c r="D31" s="341" t="s">
        <v>259</v>
      </c>
    </row>
    <row r="33" spans="2:16" x14ac:dyDescent="0.4">
      <c r="B33" s="341" t="s">
        <v>80</v>
      </c>
      <c r="P33" s="342" t="s">
        <v>32</v>
      </c>
    </row>
    <row r="34" spans="2:16" ht="18.75" customHeight="1" x14ac:dyDescent="0.4">
      <c r="P34" s="342"/>
    </row>
    <row r="35" spans="2:16" ht="18.75" customHeight="1" x14ac:dyDescent="0.4">
      <c r="C35" s="341" t="s">
        <v>22</v>
      </c>
      <c r="D35" s="368"/>
      <c r="E35" s="341"/>
      <c r="F35" s="346"/>
      <c r="G35" s="347" t="s">
        <v>218</v>
      </c>
      <c r="H35" s="348" t="s">
        <v>31</v>
      </c>
      <c r="I35" s="349" t="s">
        <v>30</v>
      </c>
      <c r="J35" s="349" t="s">
        <v>29</v>
      </c>
      <c r="K35" s="349" t="s">
        <v>28</v>
      </c>
      <c r="L35" s="349" t="s">
        <v>27</v>
      </c>
      <c r="M35" s="349" t="s">
        <v>26</v>
      </c>
      <c r="N35" s="350" t="s">
        <v>25</v>
      </c>
      <c r="O35" s="348" t="s">
        <v>24</v>
      </c>
      <c r="P35" s="349" t="s">
        <v>23</v>
      </c>
    </row>
    <row r="36" spans="2:16" x14ac:dyDescent="0.4">
      <c r="C36" s="341" t="s">
        <v>75</v>
      </c>
      <c r="D36" s="368">
        <f>P36/$P$39</f>
        <v>0.39638554216867472</v>
      </c>
      <c r="E36" s="341"/>
      <c r="F36" s="347">
        <v>1</v>
      </c>
      <c r="G36" s="335">
        <v>6</v>
      </c>
      <c r="H36" s="336">
        <v>150</v>
      </c>
      <c r="I36" s="337">
        <v>247</v>
      </c>
      <c r="J36" s="337">
        <v>374</v>
      </c>
      <c r="K36" s="337">
        <v>383</v>
      </c>
      <c r="L36" s="337">
        <v>505</v>
      </c>
      <c r="M36" s="337">
        <v>715</v>
      </c>
      <c r="N36" s="338">
        <v>235</v>
      </c>
      <c r="O36" s="336">
        <v>17</v>
      </c>
      <c r="P36" s="351">
        <f>SUM(G36:O36)</f>
        <v>2632</v>
      </c>
    </row>
    <row r="37" spans="2:16" x14ac:dyDescent="0.4">
      <c r="C37" s="341" t="s">
        <v>74</v>
      </c>
      <c r="D37" s="368">
        <f>P37/$P$39</f>
        <v>0.5957831325301205</v>
      </c>
      <c r="E37" s="341"/>
      <c r="F37" s="347">
        <v>2</v>
      </c>
      <c r="G37" s="335">
        <v>13</v>
      </c>
      <c r="H37" s="336">
        <v>245</v>
      </c>
      <c r="I37" s="337">
        <v>317</v>
      </c>
      <c r="J37" s="337">
        <v>519</v>
      </c>
      <c r="K37" s="337">
        <v>650</v>
      </c>
      <c r="L37" s="337">
        <v>789</v>
      </c>
      <c r="M37" s="337">
        <v>1061</v>
      </c>
      <c r="N37" s="338">
        <v>329</v>
      </c>
      <c r="O37" s="336">
        <v>33</v>
      </c>
      <c r="P37" s="351">
        <f t="shared" ref="P37:P39" si="5">SUM(G37:O37)</f>
        <v>3956</v>
      </c>
    </row>
    <row r="38" spans="2:16" x14ac:dyDescent="0.4">
      <c r="C38" s="369" t="s">
        <v>18</v>
      </c>
      <c r="D38" s="368">
        <f t="shared" ref="D38" si="6">P38/$P$39</f>
        <v>7.8313253012048199E-3</v>
      </c>
      <c r="E38" s="341"/>
      <c r="F38" s="364" t="s">
        <v>18</v>
      </c>
      <c r="G38" s="335">
        <v>0</v>
      </c>
      <c r="H38" s="361">
        <v>1</v>
      </c>
      <c r="I38" s="362">
        <v>1</v>
      </c>
      <c r="J38" s="362">
        <v>0</v>
      </c>
      <c r="K38" s="362">
        <v>3</v>
      </c>
      <c r="L38" s="362">
        <v>6</v>
      </c>
      <c r="M38" s="362">
        <v>28</v>
      </c>
      <c r="N38" s="363">
        <v>10</v>
      </c>
      <c r="O38" s="336">
        <v>3</v>
      </c>
      <c r="P38" s="351">
        <f t="shared" si="5"/>
        <v>52</v>
      </c>
    </row>
    <row r="39" spans="2:16" x14ac:dyDescent="0.4">
      <c r="C39" s="341"/>
      <c r="D39" s="341"/>
      <c r="E39" s="341"/>
      <c r="F39" s="365" t="s">
        <v>23</v>
      </c>
      <c r="G39" s="366">
        <f>SUM(G36:G38)</f>
        <v>19</v>
      </c>
      <c r="H39" s="366">
        <f>SUM(H36:H38)</f>
        <v>396</v>
      </c>
      <c r="I39" s="366">
        <f t="shared" ref="I39:O39" si="7">SUM(I36:I38)</f>
        <v>565</v>
      </c>
      <c r="J39" s="366">
        <f t="shared" si="7"/>
        <v>893</v>
      </c>
      <c r="K39" s="366">
        <f t="shared" si="7"/>
        <v>1036</v>
      </c>
      <c r="L39" s="366">
        <f t="shared" si="7"/>
        <v>1300</v>
      </c>
      <c r="M39" s="366">
        <f t="shared" si="7"/>
        <v>1804</v>
      </c>
      <c r="N39" s="366">
        <f t="shared" si="7"/>
        <v>574</v>
      </c>
      <c r="O39" s="366">
        <f t="shared" si="7"/>
        <v>53</v>
      </c>
      <c r="P39" s="351">
        <f t="shared" si="5"/>
        <v>6640</v>
      </c>
    </row>
    <row r="41" spans="2:16" x14ac:dyDescent="0.4">
      <c r="B41" s="341" t="s">
        <v>54</v>
      </c>
      <c r="G41" s="339" t="s">
        <v>218</v>
      </c>
      <c r="H41" s="339" t="s">
        <v>31</v>
      </c>
      <c r="I41" s="339" t="s">
        <v>30</v>
      </c>
      <c r="J41" s="339" t="s">
        <v>29</v>
      </c>
      <c r="K41" s="339" t="s">
        <v>28</v>
      </c>
      <c r="L41" s="339" t="s">
        <v>27</v>
      </c>
      <c r="M41" s="339" t="s">
        <v>26</v>
      </c>
      <c r="N41" s="339" t="s">
        <v>25</v>
      </c>
      <c r="O41" s="339" t="s">
        <v>63</v>
      </c>
    </row>
    <row r="42" spans="2:16" x14ac:dyDescent="0.4">
      <c r="B42" s="341" t="s">
        <v>260</v>
      </c>
      <c r="G42" s="367">
        <f>G36/G39</f>
        <v>0.31578947368421051</v>
      </c>
      <c r="H42" s="367">
        <f>H36/H39</f>
        <v>0.37878787878787878</v>
      </c>
      <c r="I42" s="367">
        <f t="shared" ref="I42:O42" si="8">I36/I39</f>
        <v>0.43716814159292033</v>
      </c>
      <c r="J42" s="367">
        <f t="shared" si="8"/>
        <v>0.41881298992161253</v>
      </c>
      <c r="K42" s="367">
        <f t="shared" si="8"/>
        <v>0.36969111969111967</v>
      </c>
      <c r="L42" s="367">
        <f t="shared" si="8"/>
        <v>0.38846153846153847</v>
      </c>
      <c r="M42" s="367">
        <f t="shared" si="8"/>
        <v>0.39634146341463417</v>
      </c>
      <c r="N42" s="367">
        <f t="shared" si="8"/>
        <v>0.4094076655052265</v>
      </c>
      <c r="O42" s="367">
        <f t="shared" si="8"/>
        <v>0.32075471698113206</v>
      </c>
    </row>
    <row r="43" spans="2:16" x14ac:dyDescent="0.4">
      <c r="D43" s="341" t="s">
        <v>261</v>
      </c>
    </row>
    <row r="44" spans="2:16" x14ac:dyDescent="0.4">
      <c r="D44" s="341"/>
    </row>
    <row r="45" spans="2:16" s="341" customFormat="1" x14ac:dyDescent="0.4">
      <c r="B45" s="359" t="s">
        <v>262</v>
      </c>
      <c r="D45" s="359"/>
      <c r="G45" s="339"/>
      <c r="P45" s="342" t="s">
        <v>32</v>
      </c>
    </row>
    <row r="46" spans="2:16" s="341" customFormat="1" x14ac:dyDescent="0.4">
      <c r="D46" s="359"/>
      <c r="G46" s="339"/>
    </row>
    <row r="47" spans="2:16" s="341" customFormat="1" x14ac:dyDescent="0.4">
      <c r="C47" s="359" t="s">
        <v>22</v>
      </c>
      <c r="D47" s="368"/>
      <c r="E47" s="359"/>
      <c r="F47" s="346"/>
      <c r="G47" s="347" t="s">
        <v>218</v>
      </c>
      <c r="H47" s="348" t="s">
        <v>31</v>
      </c>
      <c r="I47" s="349" t="s">
        <v>30</v>
      </c>
      <c r="J47" s="349" t="s">
        <v>29</v>
      </c>
      <c r="K47" s="349" t="s">
        <v>28</v>
      </c>
      <c r="L47" s="349" t="s">
        <v>27</v>
      </c>
      <c r="M47" s="349" t="s">
        <v>26</v>
      </c>
      <c r="N47" s="350" t="s">
        <v>25</v>
      </c>
      <c r="O47" s="348" t="s">
        <v>24</v>
      </c>
      <c r="P47" s="349" t="s">
        <v>23</v>
      </c>
    </row>
    <row r="48" spans="2:16" s="341" customFormat="1" x14ac:dyDescent="0.4">
      <c r="C48" s="359" t="s">
        <v>75</v>
      </c>
      <c r="D48" s="368">
        <f>P48/$P$51</f>
        <v>0.27484939759036142</v>
      </c>
      <c r="E48" s="359"/>
      <c r="F48" s="347">
        <v>1</v>
      </c>
      <c r="G48" s="335">
        <v>1</v>
      </c>
      <c r="H48" s="336">
        <v>55</v>
      </c>
      <c r="I48" s="337">
        <v>112</v>
      </c>
      <c r="J48" s="337">
        <v>242</v>
      </c>
      <c r="K48" s="337">
        <v>368</v>
      </c>
      <c r="L48" s="337">
        <v>472</v>
      </c>
      <c r="M48" s="337">
        <v>470</v>
      </c>
      <c r="N48" s="338">
        <v>95</v>
      </c>
      <c r="O48" s="336">
        <v>10</v>
      </c>
      <c r="P48" s="351">
        <f>SUM(G48:O48)</f>
        <v>1825</v>
      </c>
    </row>
    <row r="49" spans="2:16" s="341" customFormat="1" x14ac:dyDescent="0.4">
      <c r="C49" s="359" t="s">
        <v>74</v>
      </c>
      <c r="D49" s="368">
        <f>P49/$P$51</f>
        <v>0.63810240963855425</v>
      </c>
      <c r="E49" s="359"/>
      <c r="F49" s="347">
        <v>2</v>
      </c>
      <c r="G49" s="335">
        <v>17</v>
      </c>
      <c r="H49" s="336">
        <v>332</v>
      </c>
      <c r="I49" s="337">
        <v>436</v>
      </c>
      <c r="J49" s="337">
        <v>605</v>
      </c>
      <c r="K49" s="337">
        <v>613</v>
      </c>
      <c r="L49" s="337">
        <v>699</v>
      </c>
      <c r="M49" s="337">
        <v>1117</v>
      </c>
      <c r="N49" s="338">
        <v>387</v>
      </c>
      <c r="O49" s="336">
        <v>31</v>
      </c>
      <c r="P49" s="351">
        <f t="shared" ref="P49:P51" si="9">SUM(G49:O49)</f>
        <v>4237</v>
      </c>
    </row>
    <row r="50" spans="2:16" s="341" customFormat="1" x14ac:dyDescent="0.4">
      <c r="C50" s="369" t="s">
        <v>18</v>
      </c>
      <c r="D50" s="368">
        <f>P50/$P$51</f>
        <v>8.7048192771084332E-2</v>
      </c>
      <c r="E50" s="359"/>
      <c r="F50" s="364" t="s">
        <v>18</v>
      </c>
      <c r="G50" s="335">
        <v>1</v>
      </c>
      <c r="H50" s="361">
        <v>9</v>
      </c>
      <c r="I50" s="362">
        <v>17</v>
      </c>
      <c r="J50" s="362">
        <v>46</v>
      </c>
      <c r="K50" s="362">
        <v>55</v>
      </c>
      <c r="L50" s="362">
        <v>129</v>
      </c>
      <c r="M50" s="362">
        <v>217</v>
      </c>
      <c r="N50" s="363">
        <v>92</v>
      </c>
      <c r="O50" s="336">
        <v>12</v>
      </c>
      <c r="P50" s="351">
        <f t="shared" si="9"/>
        <v>578</v>
      </c>
    </row>
    <row r="51" spans="2:16" s="341" customFormat="1" x14ac:dyDescent="0.4">
      <c r="C51" s="359"/>
      <c r="D51" s="359"/>
      <c r="E51" s="359"/>
      <c r="F51" s="365" t="s">
        <v>23</v>
      </c>
      <c r="G51" s="366">
        <f>SUM(G48:G50)</f>
        <v>19</v>
      </c>
      <c r="H51" s="366">
        <f>SUM(H48:H50)</f>
        <v>396</v>
      </c>
      <c r="I51" s="366">
        <f t="shared" ref="I51:O51" si="10">SUM(I48:I50)</f>
        <v>565</v>
      </c>
      <c r="J51" s="366">
        <f t="shared" si="10"/>
        <v>893</v>
      </c>
      <c r="K51" s="366">
        <f t="shared" si="10"/>
        <v>1036</v>
      </c>
      <c r="L51" s="366">
        <f t="shared" si="10"/>
        <v>1300</v>
      </c>
      <c r="M51" s="366">
        <f t="shared" si="10"/>
        <v>1804</v>
      </c>
      <c r="N51" s="366">
        <f t="shared" si="10"/>
        <v>574</v>
      </c>
      <c r="O51" s="366">
        <f t="shared" si="10"/>
        <v>53</v>
      </c>
      <c r="P51" s="351">
        <f t="shared" si="9"/>
        <v>6640</v>
      </c>
    </row>
    <row r="52" spans="2:16" s="341" customFormat="1" x14ac:dyDescent="0.4">
      <c r="C52" s="359"/>
      <c r="D52" s="359"/>
      <c r="E52" s="359"/>
      <c r="F52" s="344"/>
      <c r="G52" s="412"/>
      <c r="H52" s="412"/>
      <c r="I52" s="412"/>
      <c r="J52" s="412"/>
      <c r="K52" s="412"/>
      <c r="L52" s="412"/>
      <c r="M52" s="412"/>
      <c r="N52" s="412"/>
      <c r="O52" s="412"/>
      <c r="P52" s="412"/>
    </row>
    <row r="53" spans="2:16" s="341" customFormat="1" x14ac:dyDescent="0.4">
      <c r="C53" s="359"/>
      <c r="D53" s="359"/>
      <c r="E53" s="359"/>
      <c r="F53" s="344"/>
      <c r="G53" s="339" t="s">
        <v>218</v>
      </c>
      <c r="H53" s="339" t="s">
        <v>31</v>
      </c>
      <c r="I53" s="339" t="s">
        <v>30</v>
      </c>
      <c r="J53" s="339" t="s">
        <v>29</v>
      </c>
      <c r="K53" s="339" t="s">
        <v>28</v>
      </c>
      <c r="L53" s="339" t="s">
        <v>27</v>
      </c>
      <c r="M53" s="339" t="s">
        <v>26</v>
      </c>
      <c r="N53" s="339" t="s">
        <v>25</v>
      </c>
      <c r="O53" s="339" t="s">
        <v>63</v>
      </c>
      <c r="P53" s="412"/>
    </row>
    <row r="54" spans="2:16" s="341" customFormat="1" x14ac:dyDescent="0.4">
      <c r="D54" s="359"/>
      <c r="G54" s="367">
        <f>G48/G51</f>
        <v>5.2631578947368418E-2</v>
      </c>
      <c r="H54" s="367">
        <f>H48/H51</f>
        <v>0.1388888888888889</v>
      </c>
      <c r="I54" s="367">
        <f t="shared" ref="I54:O54" si="11">I48/I51</f>
        <v>0.19823008849557522</v>
      </c>
      <c r="J54" s="367">
        <f t="shared" si="11"/>
        <v>0.27099664053751399</v>
      </c>
      <c r="K54" s="367">
        <f t="shared" si="11"/>
        <v>0.35521235521235522</v>
      </c>
      <c r="L54" s="367">
        <f t="shared" si="11"/>
        <v>0.36307692307692307</v>
      </c>
      <c r="M54" s="367">
        <f t="shared" si="11"/>
        <v>0.26053215077605324</v>
      </c>
      <c r="N54" s="367">
        <f t="shared" si="11"/>
        <v>0.16550522648083624</v>
      </c>
      <c r="O54" s="367">
        <f t="shared" si="11"/>
        <v>0.18867924528301888</v>
      </c>
    </row>
    <row r="55" spans="2:16" s="341" customFormat="1" x14ac:dyDescent="0.4">
      <c r="D55" s="359"/>
      <c r="G55" s="367"/>
      <c r="H55" s="367"/>
      <c r="I55" s="367"/>
      <c r="J55" s="367"/>
      <c r="K55" s="367"/>
      <c r="L55" s="367"/>
      <c r="M55" s="367"/>
      <c r="N55" s="367"/>
      <c r="O55" s="367"/>
    </row>
    <row r="56" spans="2:16" s="341" customFormat="1" x14ac:dyDescent="0.4">
      <c r="B56" s="359" t="s">
        <v>298</v>
      </c>
      <c r="D56" s="359"/>
      <c r="G56" s="339"/>
      <c r="P56" s="342" t="s">
        <v>32</v>
      </c>
    </row>
    <row r="57" spans="2:16" s="341" customFormat="1" x14ac:dyDescent="0.4">
      <c r="D57" s="359"/>
      <c r="G57" s="339"/>
    </row>
    <row r="58" spans="2:16" s="341" customFormat="1" x14ac:dyDescent="0.4">
      <c r="C58" s="359" t="s">
        <v>22</v>
      </c>
      <c r="D58" s="368"/>
      <c r="E58" s="359"/>
      <c r="F58" s="346"/>
      <c r="G58" s="347" t="s">
        <v>218</v>
      </c>
      <c r="H58" s="348" t="s">
        <v>31</v>
      </c>
      <c r="I58" s="349" t="s">
        <v>30</v>
      </c>
      <c r="J58" s="349" t="s">
        <v>29</v>
      </c>
      <c r="K58" s="349" t="s">
        <v>28</v>
      </c>
      <c r="L58" s="349" t="s">
        <v>27</v>
      </c>
      <c r="M58" s="349" t="s">
        <v>26</v>
      </c>
      <c r="N58" s="350" t="s">
        <v>25</v>
      </c>
      <c r="O58" s="348" t="s">
        <v>24</v>
      </c>
      <c r="P58" s="349" t="s">
        <v>23</v>
      </c>
    </row>
    <row r="59" spans="2:16" s="341" customFormat="1" x14ac:dyDescent="0.4">
      <c r="C59" s="359" t="s">
        <v>75</v>
      </c>
      <c r="D59" s="368">
        <f>P59/$P$62</f>
        <v>0.17228915662650601</v>
      </c>
      <c r="E59" s="359"/>
      <c r="F59" s="347">
        <v>1</v>
      </c>
      <c r="G59" s="335">
        <v>0</v>
      </c>
      <c r="H59" s="336">
        <v>11</v>
      </c>
      <c r="I59" s="337">
        <v>26</v>
      </c>
      <c r="J59" s="337">
        <v>80</v>
      </c>
      <c r="K59" s="337">
        <v>184</v>
      </c>
      <c r="L59" s="337">
        <v>321</v>
      </c>
      <c r="M59" s="337">
        <v>393</v>
      </c>
      <c r="N59" s="338">
        <v>123</v>
      </c>
      <c r="O59" s="336">
        <v>6</v>
      </c>
      <c r="P59" s="351">
        <f>SUM(G59:O59)</f>
        <v>1144</v>
      </c>
    </row>
    <row r="60" spans="2:16" s="341" customFormat="1" x14ac:dyDescent="0.4">
      <c r="C60" s="359" t="s">
        <v>74</v>
      </c>
      <c r="D60" s="368">
        <f>P60/$P$62</f>
        <v>0.72484939759036149</v>
      </c>
      <c r="E60" s="359"/>
      <c r="F60" s="347">
        <v>2</v>
      </c>
      <c r="G60" s="335">
        <v>18</v>
      </c>
      <c r="H60" s="336">
        <v>379</v>
      </c>
      <c r="I60" s="337">
        <v>516</v>
      </c>
      <c r="J60" s="337">
        <v>752</v>
      </c>
      <c r="K60" s="337">
        <v>794</v>
      </c>
      <c r="L60" s="337">
        <v>835</v>
      </c>
      <c r="M60" s="337">
        <v>1151</v>
      </c>
      <c r="N60" s="338">
        <v>340</v>
      </c>
      <c r="O60" s="336">
        <v>28</v>
      </c>
      <c r="P60" s="351">
        <f t="shared" ref="P60:P62" si="12">SUM(G60:O60)</f>
        <v>4813</v>
      </c>
    </row>
    <row r="61" spans="2:16" s="341" customFormat="1" x14ac:dyDescent="0.4">
      <c r="C61" s="369" t="s">
        <v>18</v>
      </c>
      <c r="D61" s="368">
        <f>P61/$P$62</f>
        <v>0.10286144578313253</v>
      </c>
      <c r="E61" s="359"/>
      <c r="F61" s="364" t="s">
        <v>18</v>
      </c>
      <c r="G61" s="335">
        <v>1</v>
      </c>
      <c r="H61" s="361">
        <v>6</v>
      </c>
      <c r="I61" s="362">
        <v>23</v>
      </c>
      <c r="J61" s="362">
        <v>61</v>
      </c>
      <c r="K61" s="362">
        <v>58</v>
      </c>
      <c r="L61" s="362">
        <v>144</v>
      </c>
      <c r="M61" s="362">
        <v>260</v>
      </c>
      <c r="N61" s="363">
        <v>111</v>
      </c>
      <c r="O61" s="336">
        <v>19</v>
      </c>
      <c r="P61" s="351">
        <f t="shared" si="12"/>
        <v>683</v>
      </c>
    </row>
    <row r="62" spans="2:16" s="341" customFormat="1" x14ac:dyDescent="0.4">
      <c r="C62" s="359"/>
      <c r="D62" s="359"/>
      <c r="E62" s="359"/>
      <c r="F62" s="365" t="s">
        <v>23</v>
      </c>
      <c r="G62" s="366">
        <f>SUM(G59:G61)</f>
        <v>19</v>
      </c>
      <c r="H62" s="366">
        <f>SUM(H59:H61)</f>
        <v>396</v>
      </c>
      <c r="I62" s="366">
        <f t="shared" ref="I62:O62" si="13">SUM(I59:I61)</f>
        <v>565</v>
      </c>
      <c r="J62" s="366">
        <f t="shared" si="13"/>
        <v>893</v>
      </c>
      <c r="K62" s="366">
        <f t="shared" si="13"/>
        <v>1036</v>
      </c>
      <c r="L62" s="366">
        <f t="shared" si="13"/>
        <v>1300</v>
      </c>
      <c r="M62" s="366">
        <f t="shared" si="13"/>
        <v>1804</v>
      </c>
      <c r="N62" s="366">
        <f t="shared" si="13"/>
        <v>574</v>
      </c>
      <c r="O62" s="366">
        <f t="shared" si="13"/>
        <v>53</v>
      </c>
      <c r="P62" s="351">
        <f t="shared" si="12"/>
        <v>6640</v>
      </c>
    </row>
    <row r="63" spans="2:16" s="341" customFormat="1" x14ac:dyDescent="0.4">
      <c r="C63" s="359"/>
      <c r="D63" s="359"/>
      <c r="E63" s="359"/>
      <c r="F63" s="344"/>
      <c r="G63" s="412"/>
      <c r="H63" s="412"/>
      <c r="I63" s="412"/>
      <c r="J63" s="412"/>
      <c r="K63" s="412"/>
      <c r="L63" s="412"/>
      <c r="M63" s="412"/>
      <c r="N63" s="412"/>
      <c r="O63" s="412"/>
      <c r="P63" s="412"/>
    </row>
    <row r="64" spans="2:16" s="341" customFormat="1" x14ac:dyDescent="0.4">
      <c r="C64" s="359"/>
      <c r="D64" s="359"/>
      <c r="E64" s="359"/>
      <c r="F64" s="344"/>
      <c r="G64" s="339" t="s">
        <v>218</v>
      </c>
      <c r="H64" s="339" t="s">
        <v>31</v>
      </c>
      <c r="I64" s="339" t="s">
        <v>30</v>
      </c>
      <c r="J64" s="339" t="s">
        <v>29</v>
      </c>
      <c r="K64" s="339" t="s">
        <v>28</v>
      </c>
      <c r="L64" s="339" t="s">
        <v>27</v>
      </c>
      <c r="M64" s="339" t="s">
        <v>26</v>
      </c>
      <c r="N64" s="339" t="s">
        <v>25</v>
      </c>
      <c r="O64" s="339" t="s">
        <v>63</v>
      </c>
      <c r="P64" s="412"/>
    </row>
    <row r="65" spans="2:16" s="341" customFormat="1" x14ac:dyDescent="0.4">
      <c r="C65" s="359"/>
      <c r="D65" s="359"/>
      <c r="E65" s="359"/>
      <c r="F65" s="344"/>
      <c r="G65" s="367">
        <f>G59/G62</f>
        <v>0</v>
      </c>
      <c r="H65" s="367">
        <f>H59/H62</f>
        <v>2.7777777777777776E-2</v>
      </c>
      <c r="I65" s="367">
        <f>I59/I62</f>
        <v>4.6017699115044247E-2</v>
      </c>
      <c r="J65" s="367">
        <f t="shared" ref="J65:O65" si="14">J59/J62</f>
        <v>8.9585666293393054E-2</v>
      </c>
      <c r="K65" s="367">
        <f t="shared" si="14"/>
        <v>0.17760617760617761</v>
      </c>
      <c r="L65" s="367">
        <f t="shared" si="14"/>
        <v>0.24692307692307691</v>
      </c>
      <c r="M65" s="367">
        <f t="shared" si="14"/>
        <v>0.21784922394678491</v>
      </c>
      <c r="N65" s="367">
        <f t="shared" si="14"/>
        <v>0.21428571428571427</v>
      </c>
      <c r="O65" s="367">
        <f t="shared" si="14"/>
        <v>0.11320754716981132</v>
      </c>
      <c r="P65" s="412"/>
    </row>
    <row r="66" spans="2:16" s="341" customFormat="1" x14ac:dyDescent="0.4">
      <c r="C66" s="359"/>
      <c r="D66" s="359"/>
      <c r="E66" s="359"/>
      <c r="F66" s="344"/>
      <c r="G66" s="367"/>
      <c r="H66" s="367"/>
      <c r="I66" s="367"/>
      <c r="J66" s="367"/>
      <c r="K66" s="367"/>
      <c r="L66" s="367"/>
      <c r="M66" s="367"/>
      <c r="N66" s="367"/>
      <c r="O66" s="367"/>
      <c r="P66" s="412"/>
    </row>
    <row r="67" spans="2:16" s="341" customFormat="1" x14ac:dyDescent="0.4">
      <c r="B67" s="359" t="s">
        <v>291</v>
      </c>
      <c r="C67" s="359"/>
      <c r="D67" s="359"/>
      <c r="E67" s="359"/>
      <c r="F67" s="344"/>
      <c r="G67" s="412"/>
      <c r="H67" s="412"/>
      <c r="I67" s="412"/>
      <c r="J67" s="412"/>
      <c r="K67" s="412"/>
      <c r="L67" s="412"/>
      <c r="M67" s="412"/>
      <c r="N67" s="412"/>
      <c r="O67" s="412"/>
      <c r="P67" s="342" t="s">
        <v>32</v>
      </c>
    </row>
    <row r="68" spans="2:16" s="341" customFormat="1" x14ac:dyDescent="0.4">
      <c r="C68" s="359"/>
      <c r="D68" s="359"/>
      <c r="E68" s="359"/>
      <c r="F68" s="344"/>
      <c r="G68" s="412"/>
      <c r="H68" s="412"/>
      <c r="I68" s="412"/>
      <c r="J68" s="412"/>
      <c r="K68" s="412"/>
      <c r="L68" s="412"/>
      <c r="M68" s="412"/>
      <c r="N68" s="412"/>
      <c r="O68" s="412"/>
      <c r="P68" s="412"/>
    </row>
    <row r="69" spans="2:16" s="341" customFormat="1" x14ac:dyDescent="0.4">
      <c r="C69" s="359" t="s">
        <v>22</v>
      </c>
      <c r="D69" s="368"/>
      <c r="E69" s="359"/>
      <c r="F69" s="346"/>
      <c r="G69" s="347" t="s">
        <v>218</v>
      </c>
      <c r="H69" s="348" t="s">
        <v>31</v>
      </c>
      <c r="I69" s="349" t="s">
        <v>30</v>
      </c>
      <c r="J69" s="349" t="s">
        <v>29</v>
      </c>
      <c r="K69" s="349" t="s">
        <v>28</v>
      </c>
      <c r="L69" s="349" t="s">
        <v>27</v>
      </c>
      <c r="M69" s="349" t="s">
        <v>26</v>
      </c>
      <c r="N69" s="350" t="s">
        <v>25</v>
      </c>
      <c r="O69" s="348" t="s">
        <v>24</v>
      </c>
      <c r="P69" s="349" t="s">
        <v>23</v>
      </c>
    </row>
    <row r="70" spans="2:16" s="341" customFormat="1" x14ac:dyDescent="0.4">
      <c r="C70" s="359" t="s">
        <v>75</v>
      </c>
      <c r="D70" s="368">
        <f>P70/$P$73</f>
        <v>7.0180722891566266E-2</v>
      </c>
      <c r="E70" s="359"/>
      <c r="F70" s="347">
        <v>1</v>
      </c>
      <c r="G70" s="335">
        <v>0</v>
      </c>
      <c r="H70" s="336">
        <v>7</v>
      </c>
      <c r="I70" s="337">
        <v>7</v>
      </c>
      <c r="J70" s="337">
        <v>37</v>
      </c>
      <c r="K70" s="337">
        <v>88</v>
      </c>
      <c r="L70" s="337">
        <v>129</v>
      </c>
      <c r="M70" s="337">
        <v>152</v>
      </c>
      <c r="N70" s="338">
        <v>41</v>
      </c>
      <c r="O70" s="336">
        <v>5</v>
      </c>
      <c r="P70" s="351">
        <f>SUM(G70:O70)</f>
        <v>466</v>
      </c>
    </row>
    <row r="71" spans="2:16" s="341" customFormat="1" x14ac:dyDescent="0.4">
      <c r="C71" s="359" t="s">
        <v>74</v>
      </c>
      <c r="D71" s="368">
        <f t="shared" ref="D71:D72" si="15">P71/$P$73</f>
        <v>0.81430722891566265</v>
      </c>
      <c r="E71" s="359"/>
      <c r="F71" s="347">
        <v>2</v>
      </c>
      <c r="G71" s="335">
        <v>18</v>
      </c>
      <c r="H71" s="336">
        <v>383</v>
      </c>
      <c r="I71" s="337">
        <v>531</v>
      </c>
      <c r="J71" s="337">
        <v>791</v>
      </c>
      <c r="K71" s="337">
        <v>881</v>
      </c>
      <c r="L71" s="337">
        <v>1008</v>
      </c>
      <c r="M71" s="337">
        <v>1353</v>
      </c>
      <c r="N71" s="338">
        <v>409</v>
      </c>
      <c r="O71" s="336">
        <v>33</v>
      </c>
      <c r="P71" s="351">
        <f t="shared" ref="P71:P73" si="16">SUM(G71:O71)</f>
        <v>5407</v>
      </c>
    </row>
    <row r="72" spans="2:16" s="341" customFormat="1" x14ac:dyDescent="0.4">
      <c r="C72" s="369" t="s">
        <v>18</v>
      </c>
      <c r="D72" s="368">
        <f t="shared" si="15"/>
        <v>0.11551204819277108</v>
      </c>
      <c r="E72" s="359"/>
      <c r="F72" s="364" t="s">
        <v>18</v>
      </c>
      <c r="G72" s="335">
        <v>1</v>
      </c>
      <c r="H72" s="361">
        <v>6</v>
      </c>
      <c r="I72" s="362">
        <v>27</v>
      </c>
      <c r="J72" s="362">
        <v>65</v>
      </c>
      <c r="K72" s="362">
        <v>67</v>
      </c>
      <c r="L72" s="362">
        <v>163</v>
      </c>
      <c r="M72" s="362">
        <v>299</v>
      </c>
      <c r="N72" s="363">
        <v>124</v>
      </c>
      <c r="O72" s="336">
        <v>15</v>
      </c>
      <c r="P72" s="351">
        <f t="shared" si="16"/>
        <v>767</v>
      </c>
    </row>
    <row r="73" spans="2:16" s="341" customFormat="1" x14ac:dyDescent="0.4">
      <c r="C73" s="359"/>
      <c r="D73" s="359"/>
      <c r="E73" s="359"/>
      <c r="F73" s="365" t="s">
        <v>23</v>
      </c>
      <c r="G73" s="366">
        <f>SUM(G70:G72)</f>
        <v>19</v>
      </c>
      <c r="H73" s="366">
        <f>SUM(H70:H72)</f>
        <v>396</v>
      </c>
      <c r="I73" s="366">
        <f t="shared" ref="I73:O73" si="17">SUM(I70:I72)</f>
        <v>565</v>
      </c>
      <c r="J73" s="366">
        <f t="shared" si="17"/>
        <v>893</v>
      </c>
      <c r="K73" s="366">
        <f t="shared" si="17"/>
        <v>1036</v>
      </c>
      <c r="L73" s="366">
        <f t="shared" si="17"/>
        <v>1300</v>
      </c>
      <c r="M73" s="366">
        <f t="shared" si="17"/>
        <v>1804</v>
      </c>
      <c r="N73" s="366">
        <f t="shared" si="17"/>
        <v>574</v>
      </c>
      <c r="O73" s="366">
        <f t="shared" si="17"/>
        <v>53</v>
      </c>
      <c r="P73" s="351">
        <f t="shared" si="16"/>
        <v>6640</v>
      </c>
    </row>
    <row r="74" spans="2:16" s="341" customFormat="1" x14ac:dyDescent="0.4">
      <c r="C74" s="359"/>
      <c r="D74" s="359"/>
      <c r="E74" s="359"/>
      <c r="F74" s="344"/>
      <c r="G74" s="412"/>
      <c r="H74" s="412"/>
      <c r="I74" s="412"/>
      <c r="J74" s="412"/>
      <c r="K74" s="412"/>
      <c r="L74" s="412"/>
      <c r="M74" s="412"/>
      <c r="N74" s="412"/>
      <c r="O74" s="412"/>
      <c r="P74" s="412"/>
    </row>
    <row r="75" spans="2:16" s="341" customFormat="1" x14ac:dyDescent="0.4">
      <c r="C75" s="359"/>
      <c r="D75" s="359"/>
      <c r="E75" s="359"/>
      <c r="F75" s="344"/>
      <c r="G75" s="339" t="s">
        <v>218</v>
      </c>
      <c r="H75" s="339" t="s">
        <v>31</v>
      </c>
      <c r="I75" s="339" t="s">
        <v>30</v>
      </c>
      <c r="J75" s="339" t="s">
        <v>29</v>
      </c>
      <c r="K75" s="339" t="s">
        <v>28</v>
      </c>
      <c r="L75" s="339" t="s">
        <v>27</v>
      </c>
      <c r="M75" s="339" t="s">
        <v>26</v>
      </c>
      <c r="N75" s="339" t="s">
        <v>25</v>
      </c>
      <c r="O75" s="339" t="s">
        <v>63</v>
      </c>
      <c r="P75" s="412"/>
    </row>
    <row r="76" spans="2:16" s="341" customFormat="1" x14ac:dyDescent="0.4">
      <c r="C76" s="359"/>
      <c r="D76" s="359"/>
      <c r="E76" s="359"/>
      <c r="F76" s="344"/>
      <c r="G76" s="367">
        <f>G70/G73</f>
        <v>0</v>
      </c>
      <c r="H76" s="367">
        <f>H70/H73</f>
        <v>1.7676767676767676E-2</v>
      </c>
      <c r="I76" s="367">
        <f t="shared" ref="I76:O76" si="18">I70/I73</f>
        <v>1.2389380530973451E-2</v>
      </c>
      <c r="J76" s="367">
        <f>J70/J73</f>
        <v>4.1433370660694288E-2</v>
      </c>
      <c r="K76" s="367">
        <f t="shared" si="18"/>
        <v>8.4942084942084939E-2</v>
      </c>
      <c r="L76" s="367">
        <f t="shared" si="18"/>
        <v>9.9230769230769234E-2</v>
      </c>
      <c r="M76" s="367">
        <f t="shared" si="18"/>
        <v>8.4257206208425722E-2</v>
      </c>
      <c r="N76" s="367">
        <f t="shared" si="18"/>
        <v>7.1428571428571425E-2</v>
      </c>
      <c r="O76" s="367">
        <f t="shared" si="18"/>
        <v>9.4339622641509441E-2</v>
      </c>
      <c r="P76" s="412"/>
    </row>
    <row r="77" spans="2:16" s="341" customFormat="1" x14ac:dyDescent="0.4">
      <c r="C77" s="359"/>
      <c r="D77" s="359"/>
      <c r="E77" s="359"/>
      <c r="F77" s="344"/>
      <c r="G77" s="367"/>
      <c r="H77" s="367"/>
      <c r="I77" s="367"/>
      <c r="J77" s="367"/>
      <c r="K77" s="367"/>
      <c r="L77" s="367"/>
      <c r="M77" s="367"/>
      <c r="N77" s="367"/>
      <c r="O77" s="367"/>
      <c r="P77" s="412"/>
    </row>
    <row r="78" spans="2:16" s="341" customFormat="1" x14ac:dyDescent="0.4">
      <c r="B78" s="359" t="s">
        <v>292</v>
      </c>
      <c r="C78" s="359"/>
      <c r="D78" s="359"/>
      <c r="E78" s="359"/>
      <c r="F78" s="344"/>
      <c r="G78" s="412"/>
      <c r="H78" s="412"/>
      <c r="I78" s="412"/>
      <c r="J78" s="412"/>
      <c r="K78" s="412"/>
      <c r="L78" s="412"/>
      <c r="M78" s="412"/>
      <c r="N78" s="412"/>
      <c r="O78" s="412"/>
      <c r="P78" s="342" t="s">
        <v>32</v>
      </c>
    </row>
    <row r="79" spans="2:16" s="341" customFormat="1" x14ac:dyDescent="0.4">
      <c r="C79" s="359"/>
      <c r="D79" s="359"/>
      <c r="E79" s="359"/>
      <c r="F79" s="344"/>
      <c r="G79" s="412"/>
      <c r="H79" s="412"/>
      <c r="I79" s="412"/>
      <c r="J79" s="412"/>
      <c r="K79" s="412"/>
      <c r="L79" s="412"/>
      <c r="M79" s="412"/>
      <c r="N79" s="412"/>
      <c r="O79" s="412"/>
      <c r="P79" s="412"/>
    </row>
    <row r="80" spans="2:16" s="341" customFormat="1" x14ac:dyDescent="0.4">
      <c r="C80" s="359" t="s">
        <v>22</v>
      </c>
      <c r="D80" s="368"/>
      <c r="E80" s="359"/>
      <c r="F80" s="346"/>
      <c r="G80" s="347" t="s">
        <v>218</v>
      </c>
      <c r="H80" s="348" t="s">
        <v>31</v>
      </c>
      <c r="I80" s="349" t="s">
        <v>30</v>
      </c>
      <c r="J80" s="349" t="s">
        <v>29</v>
      </c>
      <c r="K80" s="349" t="s">
        <v>28</v>
      </c>
      <c r="L80" s="349" t="s">
        <v>27</v>
      </c>
      <c r="M80" s="349" t="s">
        <v>26</v>
      </c>
      <c r="N80" s="350" t="s">
        <v>25</v>
      </c>
      <c r="O80" s="348" t="s">
        <v>24</v>
      </c>
      <c r="P80" s="349" t="s">
        <v>23</v>
      </c>
    </row>
    <row r="81" spans="2:16" s="341" customFormat="1" x14ac:dyDescent="0.4">
      <c r="C81" s="359" t="s">
        <v>263</v>
      </c>
      <c r="D81" s="368">
        <f>P81/$P$87</f>
        <v>1.3253012048192771E-2</v>
      </c>
      <c r="E81" s="359"/>
      <c r="F81" s="347">
        <v>1</v>
      </c>
      <c r="G81" s="335">
        <v>0</v>
      </c>
      <c r="H81" s="336">
        <v>7</v>
      </c>
      <c r="I81" s="337">
        <v>10</v>
      </c>
      <c r="J81" s="337">
        <v>19</v>
      </c>
      <c r="K81" s="337">
        <v>19</v>
      </c>
      <c r="L81" s="337">
        <v>16</v>
      </c>
      <c r="M81" s="337">
        <v>15</v>
      </c>
      <c r="N81" s="338">
        <v>2</v>
      </c>
      <c r="O81" s="336">
        <v>0</v>
      </c>
      <c r="P81" s="351">
        <f>SUM(G81:O81)</f>
        <v>88</v>
      </c>
    </row>
    <row r="82" spans="2:16" s="341" customFormat="1" x14ac:dyDescent="0.4">
      <c r="C82" s="341" t="s">
        <v>264</v>
      </c>
      <c r="D82" s="368">
        <f t="shared" ref="D82:D86" si="19">P82/$P$87</f>
        <v>4.1566265060240963E-2</v>
      </c>
      <c r="E82" s="359"/>
      <c r="F82" s="347">
        <v>2</v>
      </c>
      <c r="G82" s="335">
        <v>1</v>
      </c>
      <c r="H82" s="336">
        <v>30</v>
      </c>
      <c r="I82" s="337">
        <v>39</v>
      </c>
      <c r="J82" s="337">
        <v>44</v>
      </c>
      <c r="K82" s="337">
        <v>69</v>
      </c>
      <c r="L82" s="337">
        <v>44</v>
      </c>
      <c r="M82" s="337">
        <v>38</v>
      </c>
      <c r="N82" s="338">
        <v>10</v>
      </c>
      <c r="O82" s="336">
        <v>1</v>
      </c>
      <c r="P82" s="351">
        <f t="shared" ref="P82:P87" si="20">SUM(G82:O82)</f>
        <v>276</v>
      </c>
    </row>
    <row r="83" spans="2:16" s="341" customFormat="1" x14ac:dyDescent="0.4">
      <c r="C83" s="418" t="s">
        <v>309</v>
      </c>
      <c r="D83" s="368">
        <f t="shared" si="19"/>
        <v>0.22439759036144577</v>
      </c>
      <c r="E83" s="359"/>
      <c r="F83" s="347">
        <v>3</v>
      </c>
      <c r="G83" s="335">
        <v>5</v>
      </c>
      <c r="H83" s="361">
        <v>100</v>
      </c>
      <c r="I83" s="362">
        <v>180</v>
      </c>
      <c r="J83" s="362">
        <v>269</v>
      </c>
      <c r="K83" s="362">
        <v>272</v>
      </c>
      <c r="L83" s="362">
        <v>306</v>
      </c>
      <c r="M83" s="362">
        <v>284</v>
      </c>
      <c r="N83" s="363">
        <v>67</v>
      </c>
      <c r="O83" s="336">
        <v>7</v>
      </c>
      <c r="P83" s="351">
        <f t="shared" si="20"/>
        <v>1490</v>
      </c>
    </row>
    <row r="84" spans="2:16" s="341" customFormat="1" x14ac:dyDescent="0.4">
      <c r="C84" s="341" t="s">
        <v>265</v>
      </c>
      <c r="D84" s="368">
        <f t="shared" si="19"/>
        <v>0.33719879518072288</v>
      </c>
      <c r="E84" s="359"/>
      <c r="F84" s="347">
        <v>4</v>
      </c>
      <c r="G84" s="335">
        <v>8</v>
      </c>
      <c r="H84" s="361">
        <v>130</v>
      </c>
      <c r="I84" s="362">
        <v>199</v>
      </c>
      <c r="J84" s="362">
        <v>308</v>
      </c>
      <c r="K84" s="362">
        <v>365</v>
      </c>
      <c r="L84" s="362">
        <v>453</v>
      </c>
      <c r="M84" s="362">
        <v>596</v>
      </c>
      <c r="N84" s="363">
        <v>171</v>
      </c>
      <c r="O84" s="336">
        <v>9</v>
      </c>
      <c r="P84" s="351">
        <f t="shared" si="20"/>
        <v>2239</v>
      </c>
    </row>
    <row r="85" spans="2:16" s="341" customFormat="1" x14ac:dyDescent="0.4">
      <c r="C85" s="341" t="s">
        <v>266</v>
      </c>
      <c r="D85" s="368">
        <f t="shared" si="19"/>
        <v>0.32003012048192769</v>
      </c>
      <c r="F85" s="347">
        <v>5</v>
      </c>
      <c r="G85" s="335">
        <v>5</v>
      </c>
      <c r="H85" s="361">
        <v>123</v>
      </c>
      <c r="I85" s="362">
        <v>124</v>
      </c>
      <c r="J85" s="362">
        <v>219</v>
      </c>
      <c r="K85" s="362">
        <v>273</v>
      </c>
      <c r="L85" s="362">
        <v>387</v>
      </c>
      <c r="M85" s="362">
        <v>706</v>
      </c>
      <c r="N85" s="363">
        <v>263</v>
      </c>
      <c r="O85" s="336">
        <v>25</v>
      </c>
      <c r="P85" s="351">
        <f t="shared" si="20"/>
        <v>2125</v>
      </c>
    </row>
    <row r="86" spans="2:16" s="341" customFormat="1" x14ac:dyDescent="0.4">
      <c r="C86" s="369" t="s">
        <v>18</v>
      </c>
      <c r="D86" s="368">
        <f t="shared" si="19"/>
        <v>6.3554216867469884E-2</v>
      </c>
      <c r="F86" s="364" t="s">
        <v>18</v>
      </c>
      <c r="G86" s="335">
        <v>0</v>
      </c>
      <c r="H86" s="361">
        <v>6</v>
      </c>
      <c r="I86" s="362">
        <v>13</v>
      </c>
      <c r="J86" s="362">
        <v>34</v>
      </c>
      <c r="K86" s="362">
        <v>38</v>
      </c>
      <c r="L86" s="362">
        <v>94</v>
      </c>
      <c r="M86" s="362">
        <v>165</v>
      </c>
      <c r="N86" s="363">
        <v>61</v>
      </c>
      <c r="O86" s="336">
        <v>11</v>
      </c>
      <c r="P86" s="351">
        <f t="shared" si="20"/>
        <v>422</v>
      </c>
    </row>
    <row r="87" spans="2:16" s="341" customFormat="1" x14ac:dyDescent="0.4">
      <c r="D87" s="359"/>
      <c r="F87" s="365" t="s">
        <v>23</v>
      </c>
      <c r="G87" s="366">
        <f t="shared" ref="G87:O87" si="21">SUM(G81:G86)</f>
        <v>19</v>
      </c>
      <c r="H87" s="366">
        <f t="shared" si="21"/>
        <v>396</v>
      </c>
      <c r="I87" s="366">
        <f t="shared" si="21"/>
        <v>565</v>
      </c>
      <c r="J87" s="366">
        <f t="shared" si="21"/>
        <v>893</v>
      </c>
      <c r="K87" s="366">
        <f t="shared" si="21"/>
        <v>1036</v>
      </c>
      <c r="L87" s="366">
        <f t="shared" si="21"/>
        <v>1300</v>
      </c>
      <c r="M87" s="366">
        <f t="shared" si="21"/>
        <v>1804</v>
      </c>
      <c r="N87" s="366">
        <f t="shared" si="21"/>
        <v>574</v>
      </c>
      <c r="O87" s="366">
        <f t="shared" si="21"/>
        <v>53</v>
      </c>
      <c r="P87" s="351">
        <f t="shared" si="20"/>
        <v>6640</v>
      </c>
    </row>
    <row r="88" spans="2:16" s="341" customFormat="1" x14ac:dyDescent="0.4">
      <c r="D88" s="359"/>
      <c r="F88" s="344"/>
      <c r="G88" s="412"/>
      <c r="H88" s="412"/>
      <c r="I88" s="412"/>
      <c r="J88" s="412"/>
      <c r="K88" s="412"/>
      <c r="L88" s="412"/>
      <c r="M88" s="412"/>
      <c r="N88" s="412"/>
      <c r="O88" s="412"/>
      <c r="P88" s="412"/>
    </row>
    <row r="89" spans="2:16" s="341" customFormat="1" x14ac:dyDescent="0.4">
      <c r="D89" s="359"/>
      <c r="F89" s="344"/>
      <c r="G89" s="339" t="s">
        <v>218</v>
      </c>
      <c r="H89" s="339" t="s">
        <v>31</v>
      </c>
      <c r="I89" s="339" t="s">
        <v>30</v>
      </c>
      <c r="J89" s="339" t="s">
        <v>29</v>
      </c>
      <c r="K89" s="339" t="s">
        <v>28</v>
      </c>
      <c r="L89" s="339" t="s">
        <v>27</v>
      </c>
      <c r="M89" s="339" t="s">
        <v>26</v>
      </c>
      <c r="N89" s="339" t="s">
        <v>25</v>
      </c>
      <c r="O89" s="339" t="s">
        <v>63</v>
      </c>
      <c r="P89" s="412" t="s">
        <v>304</v>
      </c>
    </row>
    <row r="90" spans="2:16" s="341" customFormat="1" x14ac:dyDescent="0.4">
      <c r="G90" s="367">
        <f>SUM(G81:G83)/G87</f>
        <v>0.31578947368421051</v>
      </c>
      <c r="H90" s="367">
        <f t="shared" ref="H90:O90" si="22">SUM(H81:H83)/H87</f>
        <v>0.34595959595959597</v>
      </c>
      <c r="I90" s="367">
        <f t="shared" si="22"/>
        <v>0.40530973451327434</v>
      </c>
      <c r="J90" s="367">
        <f t="shared" si="22"/>
        <v>0.3717805151175812</v>
      </c>
      <c r="K90" s="367">
        <f t="shared" si="22"/>
        <v>0.34749034749034752</v>
      </c>
      <c r="L90" s="367">
        <f t="shared" si="22"/>
        <v>0.28153846153846152</v>
      </c>
      <c r="M90" s="367">
        <f t="shared" si="22"/>
        <v>0.1868070953436807</v>
      </c>
      <c r="N90" s="367">
        <f t="shared" si="22"/>
        <v>0.13763066202090593</v>
      </c>
      <c r="O90" s="367">
        <f t="shared" si="22"/>
        <v>0.15094339622641509</v>
      </c>
      <c r="P90" s="367">
        <f>SUM(P81:P83)/P87</f>
        <v>0.2792168674698795</v>
      </c>
    </row>
    <row r="91" spans="2:16" x14ac:dyDescent="0.4">
      <c r="G91" s="367"/>
      <c r="H91" s="367"/>
      <c r="I91" s="367"/>
      <c r="J91" s="367"/>
      <c r="K91" s="367"/>
      <c r="L91" s="367"/>
      <c r="M91" s="367"/>
      <c r="N91" s="367"/>
      <c r="O91" s="367"/>
    </row>
    <row r="92" spans="2:16" x14ac:dyDescent="0.4">
      <c r="B92" s="341" t="s">
        <v>267</v>
      </c>
      <c r="P92" s="342" t="s">
        <v>32</v>
      </c>
    </row>
    <row r="93" spans="2:16" x14ac:dyDescent="0.4">
      <c r="P93" s="342"/>
    </row>
    <row r="94" spans="2:16" ht="19.5" customHeight="1" x14ac:dyDescent="0.4">
      <c r="B94" s="376"/>
      <c r="C94" s="341" t="s">
        <v>22</v>
      </c>
      <c r="D94" s="368"/>
      <c r="F94" s="346"/>
      <c r="G94" s="347" t="s">
        <v>218</v>
      </c>
      <c r="H94" s="348" t="s">
        <v>31</v>
      </c>
      <c r="I94" s="349" t="s">
        <v>30</v>
      </c>
      <c r="J94" s="349" t="s">
        <v>29</v>
      </c>
      <c r="K94" s="349" t="s">
        <v>28</v>
      </c>
      <c r="L94" s="349" t="s">
        <v>27</v>
      </c>
      <c r="M94" s="349" t="s">
        <v>26</v>
      </c>
      <c r="N94" s="350" t="s">
        <v>25</v>
      </c>
      <c r="O94" s="348" t="s">
        <v>24</v>
      </c>
      <c r="P94" s="349" t="s">
        <v>23</v>
      </c>
    </row>
    <row r="95" spans="2:16" x14ac:dyDescent="0.4">
      <c r="C95" s="341" t="s">
        <v>75</v>
      </c>
      <c r="D95" s="368">
        <f>P95/$P$98</f>
        <v>0.15587349397590361</v>
      </c>
      <c r="F95" s="347">
        <v>1</v>
      </c>
      <c r="G95" s="335">
        <v>4</v>
      </c>
      <c r="H95" s="336">
        <v>87</v>
      </c>
      <c r="I95" s="337">
        <v>128</v>
      </c>
      <c r="J95" s="337">
        <v>175</v>
      </c>
      <c r="K95" s="337">
        <v>216</v>
      </c>
      <c r="L95" s="337">
        <v>197</v>
      </c>
      <c r="M95" s="337">
        <v>194</v>
      </c>
      <c r="N95" s="338">
        <v>32</v>
      </c>
      <c r="O95" s="336">
        <v>2</v>
      </c>
      <c r="P95" s="351">
        <f t="shared" ref="P95:P98" si="23">SUM(G95:O95)</f>
        <v>1035</v>
      </c>
    </row>
    <row r="96" spans="2:16" x14ac:dyDescent="0.4">
      <c r="C96" s="341" t="s">
        <v>74</v>
      </c>
      <c r="D96" s="368">
        <f>P96/$P$98</f>
        <v>0.80391566265060244</v>
      </c>
      <c r="F96" s="347">
        <v>2</v>
      </c>
      <c r="G96" s="335">
        <v>14</v>
      </c>
      <c r="H96" s="336">
        <v>307</v>
      </c>
      <c r="I96" s="337">
        <v>435</v>
      </c>
      <c r="J96" s="337">
        <v>700</v>
      </c>
      <c r="K96" s="337">
        <v>797</v>
      </c>
      <c r="L96" s="337">
        <v>1043</v>
      </c>
      <c r="M96" s="337">
        <v>1504</v>
      </c>
      <c r="N96" s="338">
        <v>497</v>
      </c>
      <c r="O96" s="336">
        <v>41</v>
      </c>
      <c r="P96" s="351">
        <f t="shared" si="23"/>
        <v>5338</v>
      </c>
    </row>
    <row r="97" spans="2:16" x14ac:dyDescent="0.4">
      <c r="C97" s="369" t="s">
        <v>18</v>
      </c>
      <c r="D97" s="368">
        <f>P97/$P$98</f>
        <v>4.0210843373493975E-2</v>
      </c>
      <c r="F97" s="364" t="s">
        <v>18</v>
      </c>
      <c r="G97" s="335">
        <v>1</v>
      </c>
      <c r="H97" s="361">
        <v>2</v>
      </c>
      <c r="I97" s="362">
        <v>2</v>
      </c>
      <c r="J97" s="362">
        <v>18</v>
      </c>
      <c r="K97" s="362">
        <v>23</v>
      </c>
      <c r="L97" s="362">
        <v>60</v>
      </c>
      <c r="M97" s="362">
        <v>106</v>
      </c>
      <c r="N97" s="363">
        <v>45</v>
      </c>
      <c r="O97" s="336">
        <v>10</v>
      </c>
      <c r="P97" s="351">
        <f t="shared" si="23"/>
        <v>267</v>
      </c>
    </row>
    <row r="98" spans="2:16" x14ac:dyDescent="0.4">
      <c r="F98" s="365" t="s">
        <v>23</v>
      </c>
      <c r="G98" s="366">
        <f>SUM(G95:G97)</f>
        <v>19</v>
      </c>
      <c r="H98" s="366">
        <f>SUM(H95:H97)</f>
        <v>396</v>
      </c>
      <c r="I98" s="366">
        <f t="shared" ref="I98:O98" si="24">SUM(I95:I97)</f>
        <v>565</v>
      </c>
      <c r="J98" s="366">
        <f t="shared" si="24"/>
        <v>893</v>
      </c>
      <c r="K98" s="366">
        <f t="shared" si="24"/>
        <v>1036</v>
      </c>
      <c r="L98" s="366">
        <f t="shared" si="24"/>
        <v>1300</v>
      </c>
      <c r="M98" s="366">
        <f t="shared" si="24"/>
        <v>1804</v>
      </c>
      <c r="N98" s="366">
        <f t="shared" si="24"/>
        <v>574</v>
      </c>
      <c r="O98" s="366">
        <f t="shared" si="24"/>
        <v>53</v>
      </c>
      <c r="P98" s="351">
        <f t="shared" si="23"/>
        <v>6640</v>
      </c>
    </row>
    <row r="100" spans="2:16" x14ac:dyDescent="0.4">
      <c r="G100" s="339" t="s">
        <v>218</v>
      </c>
      <c r="H100" s="339" t="s">
        <v>31</v>
      </c>
      <c r="I100" s="339" t="s">
        <v>30</v>
      </c>
      <c r="J100" s="339" t="s">
        <v>29</v>
      </c>
      <c r="K100" s="339" t="s">
        <v>28</v>
      </c>
      <c r="L100" s="339" t="s">
        <v>27</v>
      </c>
      <c r="M100" s="339" t="s">
        <v>26</v>
      </c>
      <c r="N100" s="339" t="s">
        <v>25</v>
      </c>
      <c r="O100" s="339" t="s">
        <v>63</v>
      </c>
    </row>
    <row r="101" spans="2:16" x14ac:dyDescent="0.4">
      <c r="G101" s="367">
        <f>G95/G98</f>
        <v>0.21052631578947367</v>
      </c>
      <c r="H101" s="367">
        <f>H95/H98</f>
        <v>0.2196969696969697</v>
      </c>
      <c r="I101" s="367">
        <f t="shared" ref="I101:O101" si="25">I95/I98</f>
        <v>0.22654867256637168</v>
      </c>
      <c r="J101" s="367">
        <f t="shared" si="25"/>
        <v>0.19596864501679731</v>
      </c>
      <c r="K101" s="367">
        <f t="shared" si="25"/>
        <v>0.20849420849420849</v>
      </c>
      <c r="L101" s="367">
        <f t="shared" si="25"/>
        <v>0.15153846153846154</v>
      </c>
      <c r="M101" s="367">
        <f t="shared" si="25"/>
        <v>0.10753880266075388</v>
      </c>
      <c r="N101" s="367">
        <f t="shared" si="25"/>
        <v>5.5749128919860627E-2</v>
      </c>
      <c r="O101" s="367">
        <f t="shared" si="25"/>
        <v>3.7735849056603772E-2</v>
      </c>
    </row>
    <row r="103" spans="2:16" x14ac:dyDescent="0.4">
      <c r="B103" s="341" t="s">
        <v>268</v>
      </c>
      <c r="P103" s="342" t="s">
        <v>32</v>
      </c>
    </row>
    <row r="104" spans="2:16" x14ac:dyDescent="0.4">
      <c r="P104" s="342"/>
    </row>
    <row r="105" spans="2:16" ht="17.25" customHeight="1" x14ac:dyDescent="0.4">
      <c r="B105" s="376"/>
      <c r="C105" s="341" t="s">
        <v>22</v>
      </c>
      <c r="D105" s="368"/>
      <c r="F105" s="346"/>
      <c r="G105" s="347" t="s">
        <v>218</v>
      </c>
      <c r="H105" s="348" t="s">
        <v>31</v>
      </c>
      <c r="I105" s="349" t="s">
        <v>30</v>
      </c>
      <c r="J105" s="349" t="s">
        <v>29</v>
      </c>
      <c r="K105" s="349" t="s">
        <v>28</v>
      </c>
      <c r="L105" s="349" t="s">
        <v>27</v>
      </c>
      <c r="M105" s="349" t="s">
        <v>26</v>
      </c>
      <c r="N105" s="350" t="s">
        <v>25</v>
      </c>
      <c r="O105" s="348" t="s">
        <v>24</v>
      </c>
      <c r="P105" s="349" t="s">
        <v>23</v>
      </c>
    </row>
    <row r="106" spans="2:16" x14ac:dyDescent="0.4">
      <c r="C106" s="341" t="s">
        <v>75</v>
      </c>
      <c r="D106" s="368">
        <f>P106/$P$109</f>
        <v>6.9728915662650603E-2</v>
      </c>
      <c r="F106" s="347">
        <v>1</v>
      </c>
      <c r="G106" s="335">
        <v>0</v>
      </c>
      <c r="H106" s="336">
        <v>16</v>
      </c>
      <c r="I106" s="337">
        <v>26</v>
      </c>
      <c r="J106" s="337">
        <v>51</v>
      </c>
      <c r="K106" s="337">
        <v>87</v>
      </c>
      <c r="L106" s="337">
        <v>128</v>
      </c>
      <c r="M106" s="337">
        <v>117</v>
      </c>
      <c r="N106" s="338">
        <v>35</v>
      </c>
      <c r="O106" s="336">
        <v>3</v>
      </c>
      <c r="P106" s="351">
        <f>SUM(G106:O106)</f>
        <v>463</v>
      </c>
    </row>
    <row r="107" spans="2:16" x14ac:dyDescent="0.4">
      <c r="C107" s="341" t="s">
        <v>74</v>
      </c>
      <c r="D107" s="368">
        <f>P107/$P$109</f>
        <v>0.8787650602409639</v>
      </c>
      <c r="F107" s="347">
        <v>2</v>
      </c>
      <c r="G107" s="335">
        <v>18</v>
      </c>
      <c r="H107" s="336">
        <v>378</v>
      </c>
      <c r="I107" s="337">
        <v>534</v>
      </c>
      <c r="J107" s="337">
        <v>812</v>
      </c>
      <c r="K107" s="337">
        <v>921</v>
      </c>
      <c r="L107" s="337">
        <v>1098</v>
      </c>
      <c r="M107" s="337">
        <v>1549</v>
      </c>
      <c r="N107" s="338">
        <v>486</v>
      </c>
      <c r="O107" s="336">
        <v>39</v>
      </c>
      <c r="P107" s="351">
        <f t="shared" ref="P107:P109" si="26">SUM(G107:O107)</f>
        <v>5835</v>
      </c>
    </row>
    <row r="108" spans="2:16" x14ac:dyDescent="0.4">
      <c r="C108" s="369" t="s">
        <v>18</v>
      </c>
      <c r="D108" s="368">
        <f>P108/$P$109</f>
        <v>5.1506024096385543E-2</v>
      </c>
      <c r="F108" s="364" t="s">
        <v>18</v>
      </c>
      <c r="G108" s="335">
        <v>1</v>
      </c>
      <c r="H108" s="361">
        <v>2</v>
      </c>
      <c r="I108" s="362">
        <v>5</v>
      </c>
      <c r="J108" s="362">
        <v>30</v>
      </c>
      <c r="K108" s="362">
        <v>28</v>
      </c>
      <c r="L108" s="362">
        <v>74</v>
      </c>
      <c r="M108" s="362">
        <v>138</v>
      </c>
      <c r="N108" s="363">
        <v>53</v>
      </c>
      <c r="O108" s="336">
        <v>11</v>
      </c>
      <c r="P108" s="351">
        <f t="shared" si="26"/>
        <v>342</v>
      </c>
    </row>
    <row r="109" spans="2:16" x14ac:dyDescent="0.4">
      <c r="F109" s="365" t="s">
        <v>23</v>
      </c>
      <c r="G109" s="366">
        <f>SUM(G106:G108)</f>
        <v>19</v>
      </c>
      <c r="H109" s="366">
        <f>SUM(H106:H108)</f>
        <v>396</v>
      </c>
      <c r="I109" s="366">
        <f t="shared" ref="I109:O109" si="27">SUM(I106:I108)</f>
        <v>565</v>
      </c>
      <c r="J109" s="366">
        <f t="shared" si="27"/>
        <v>893</v>
      </c>
      <c r="K109" s="366">
        <f t="shared" si="27"/>
        <v>1036</v>
      </c>
      <c r="L109" s="366">
        <f t="shared" si="27"/>
        <v>1300</v>
      </c>
      <c r="M109" s="366">
        <f t="shared" si="27"/>
        <v>1804</v>
      </c>
      <c r="N109" s="366">
        <f t="shared" si="27"/>
        <v>574</v>
      </c>
      <c r="O109" s="366">
        <f t="shared" si="27"/>
        <v>53</v>
      </c>
      <c r="P109" s="351">
        <f t="shared" si="26"/>
        <v>6640</v>
      </c>
    </row>
    <row r="111" spans="2:16" x14ac:dyDescent="0.4">
      <c r="G111" s="339" t="s">
        <v>218</v>
      </c>
      <c r="H111" s="339" t="s">
        <v>31</v>
      </c>
      <c r="I111" s="339" t="s">
        <v>30</v>
      </c>
      <c r="J111" s="339" t="s">
        <v>29</v>
      </c>
      <c r="K111" s="339" t="s">
        <v>28</v>
      </c>
      <c r="L111" s="339" t="s">
        <v>27</v>
      </c>
      <c r="M111" s="339" t="s">
        <v>26</v>
      </c>
      <c r="N111" s="339" t="s">
        <v>25</v>
      </c>
      <c r="O111" s="339" t="s">
        <v>63</v>
      </c>
    </row>
    <row r="112" spans="2:16" x14ac:dyDescent="0.4">
      <c r="G112" s="367">
        <f>G106/G109</f>
        <v>0</v>
      </c>
      <c r="H112" s="367">
        <f t="shared" ref="H112:O112" si="28">H106/H109</f>
        <v>4.0404040404040407E-2</v>
      </c>
      <c r="I112" s="367">
        <f t="shared" si="28"/>
        <v>4.6017699115044247E-2</v>
      </c>
      <c r="J112" s="367">
        <f t="shared" si="28"/>
        <v>5.7110862262038077E-2</v>
      </c>
      <c r="K112" s="367">
        <f t="shared" si="28"/>
        <v>8.3976833976833976E-2</v>
      </c>
      <c r="L112" s="367">
        <f t="shared" si="28"/>
        <v>9.8461538461538461E-2</v>
      </c>
      <c r="M112" s="367">
        <f t="shared" si="28"/>
        <v>6.4855875831485582E-2</v>
      </c>
      <c r="N112" s="367">
        <f t="shared" si="28"/>
        <v>6.097560975609756E-2</v>
      </c>
      <c r="O112" s="367">
        <f t="shared" si="28"/>
        <v>5.6603773584905662E-2</v>
      </c>
    </row>
    <row r="113" spans="2:16" x14ac:dyDescent="0.4">
      <c r="B113" s="359" t="s">
        <v>54</v>
      </c>
      <c r="G113" s="359"/>
    </row>
    <row r="114" spans="2:16" x14ac:dyDescent="0.4">
      <c r="B114" s="341" t="s">
        <v>269</v>
      </c>
    </row>
    <row r="115" spans="2:16" ht="13.5" customHeight="1" x14ac:dyDescent="0.4">
      <c r="D115" s="359" t="s">
        <v>270</v>
      </c>
    </row>
    <row r="116" spans="2:16" x14ac:dyDescent="0.4">
      <c r="C116" s="341" t="s">
        <v>271</v>
      </c>
    </row>
    <row r="117" spans="2:16" x14ac:dyDescent="0.4">
      <c r="F117" s="341"/>
      <c r="G117" s="344" t="s">
        <v>218</v>
      </c>
      <c r="H117" s="339" t="s">
        <v>31</v>
      </c>
      <c r="I117" s="339" t="s">
        <v>30</v>
      </c>
      <c r="J117" s="339" t="s">
        <v>29</v>
      </c>
      <c r="K117" s="339" t="s">
        <v>28</v>
      </c>
      <c r="L117" s="339" t="s">
        <v>27</v>
      </c>
      <c r="M117" s="339" t="s">
        <v>26</v>
      </c>
      <c r="N117" s="339" t="s">
        <v>25</v>
      </c>
      <c r="O117" s="339" t="s">
        <v>63</v>
      </c>
      <c r="P117" s="339" t="s">
        <v>70</v>
      </c>
    </row>
    <row r="118" spans="2:16" x14ac:dyDescent="0.4">
      <c r="F118" s="339" t="s">
        <v>58</v>
      </c>
      <c r="G118" s="371">
        <v>18</v>
      </c>
      <c r="H118" s="372">
        <v>395</v>
      </c>
      <c r="I118" s="372">
        <v>560</v>
      </c>
      <c r="J118" s="372">
        <v>860</v>
      </c>
      <c r="K118" s="372">
        <v>1001</v>
      </c>
      <c r="L118" s="372">
        <v>1210</v>
      </c>
      <c r="M118" s="372">
        <v>1649</v>
      </c>
      <c r="N118" s="372">
        <v>510</v>
      </c>
      <c r="O118" s="372">
        <v>40</v>
      </c>
      <c r="P118" s="373">
        <f>SUM(H118:O118)</f>
        <v>6225</v>
      </c>
    </row>
    <row r="119" spans="2:16" x14ac:dyDescent="0.4">
      <c r="F119" s="339" t="s">
        <v>69</v>
      </c>
      <c r="G119" s="371">
        <v>4</v>
      </c>
      <c r="H119" s="372">
        <v>93</v>
      </c>
      <c r="I119" s="372">
        <v>132</v>
      </c>
      <c r="J119" s="372">
        <v>181</v>
      </c>
      <c r="K119" s="372">
        <v>245</v>
      </c>
      <c r="L119" s="372">
        <v>242</v>
      </c>
      <c r="M119" s="372">
        <v>222</v>
      </c>
      <c r="N119" s="372">
        <v>49</v>
      </c>
      <c r="O119" s="372">
        <v>3</v>
      </c>
      <c r="P119" s="373">
        <f>SUM(H119:O119)</f>
        <v>1167</v>
      </c>
    </row>
    <row r="120" spans="2:16" x14ac:dyDescent="0.4">
      <c r="F120" s="358" t="s">
        <v>68</v>
      </c>
      <c r="G120" s="374">
        <f>G119/G118</f>
        <v>0.22222222222222221</v>
      </c>
      <c r="H120" s="374">
        <f>H119/H118</f>
        <v>0.23544303797468355</v>
      </c>
      <c r="I120" s="374">
        <f t="shared" ref="I120:O120" si="29">I119/I118</f>
        <v>0.23571428571428571</v>
      </c>
      <c r="J120" s="374">
        <f t="shared" si="29"/>
        <v>0.21046511627906977</v>
      </c>
      <c r="K120" s="374">
        <f t="shared" si="29"/>
        <v>0.24475524475524477</v>
      </c>
      <c r="L120" s="374">
        <f t="shared" si="29"/>
        <v>0.2</v>
      </c>
      <c r="M120" s="374">
        <f t="shared" si="29"/>
        <v>0.13462704669496664</v>
      </c>
      <c r="N120" s="374">
        <f t="shared" si="29"/>
        <v>9.6078431372549025E-2</v>
      </c>
      <c r="O120" s="374">
        <f t="shared" si="29"/>
        <v>7.4999999999999997E-2</v>
      </c>
      <c r="P120" s="374">
        <f>P119/P118</f>
        <v>0.18746987951807229</v>
      </c>
    </row>
    <row r="121" spans="2:16" x14ac:dyDescent="0.4">
      <c r="F121" s="358"/>
      <c r="G121" s="374"/>
      <c r="H121" s="374"/>
      <c r="I121" s="374"/>
      <c r="J121" s="374"/>
      <c r="K121" s="374"/>
      <c r="L121" s="374"/>
      <c r="M121" s="374"/>
      <c r="N121" s="374"/>
      <c r="O121" s="374"/>
      <c r="P121" s="374"/>
    </row>
    <row r="122" spans="2:16" x14ac:dyDescent="0.4">
      <c r="F122" s="358"/>
      <c r="G122" s="374"/>
      <c r="H122" s="341" t="s">
        <v>272</v>
      </c>
      <c r="I122" s="341"/>
      <c r="J122" s="374"/>
      <c r="K122" s="374"/>
      <c r="L122" s="374"/>
      <c r="M122" s="374"/>
      <c r="N122" s="374"/>
      <c r="O122" s="374"/>
      <c r="P122" s="374"/>
    </row>
    <row r="123" spans="2:16" x14ac:dyDescent="0.4">
      <c r="F123" s="358"/>
      <c r="G123" s="374"/>
      <c r="H123" s="339" t="s">
        <v>58</v>
      </c>
      <c r="I123" s="413">
        <f>SUM(H118:I118)</f>
        <v>955</v>
      </c>
      <c r="J123" s="374"/>
      <c r="K123" s="374"/>
      <c r="L123" s="374"/>
      <c r="M123" s="374"/>
      <c r="N123" s="374"/>
      <c r="O123" s="374"/>
      <c r="P123" s="374"/>
    </row>
    <row r="124" spans="2:16" x14ac:dyDescent="0.4">
      <c r="F124" s="358"/>
      <c r="G124" s="374"/>
      <c r="H124" s="339" t="s">
        <v>69</v>
      </c>
      <c r="I124" s="413">
        <f>SUM(H119:I119)</f>
        <v>225</v>
      </c>
      <c r="J124" s="374"/>
      <c r="K124" s="374"/>
      <c r="L124" s="374"/>
      <c r="M124" s="374"/>
      <c r="N124" s="374"/>
      <c r="O124" s="374"/>
      <c r="P124" s="374"/>
    </row>
    <row r="125" spans="2:16" x14ac:dyDescent="0.4">
      <c r="F125" s="358"/>
      <c r="G125" s="374"/>
      <c r="H125" s="358" t="s">
        <v>68</v>
      </c>
      <c r="I125" s="374">
        <f>I124/I123</f>
        <v>0.2356020942408377</v>
      </c>
      <c r="J125" s="374"/>
      <c r="K125" s="374"/>
      <c r="L125" s="374"/>
      <c r="M125" s="374"/>
      <c r="N125" s="374"/>
      <c r="O125" s="374"/>
      <c r="P125" s="374"/>
    </row>
    <row r="126" spans="2:16" x14ac:dyDescent="0.4">
      <c r="H126" s="341"/>
      <c r="I126" s="414"/>
      <c r="J126" s="341"/>
      <c r="K126" s="341"/>
      <c r="L126" s="341"/>
      <c r="M126" s="341"/>
    </row>
    <row r="127" spans="2:16" x14ac:dyDescent="0.4">
      <c r="B127" s="341" t="s">
        <v>310</v>
      </c>
      <c r="I127" s="415"/>
      <c r="P127" s="342" t="s">
        <v>32</v>
      </c>
    </row>
    <row r="128" spans="2:16" x14ac:dyDescent="0.4">
      <c r="P128" s="342"/>
    </row>
    <row r="129" spans="2:16" ht="16.5" customHeight="1" x14ac:dyDescent="0.4">
      <c r="B129" s="376"/>
      <c r="D129" s="368"/>
      <c r="F129" s="346"/>
      <c r="G129" s="347" t="s">
        <v>218</v>
      </c>
      <c r="H129" s="348" t="s">
        <v>31</v>
      </c>
      <c r="I129" s="349" t="s">
        <v>30</v>
      </c>
      <c r="J129" s="349" t="s">
        <v>29</v>
      </c>
      <c r="K129" s="349" t="s">
        <v>28</v>
      </c>
      <c r="L129" s="349" t="s">
        <v>27</v>
      </c>
      <c r="M129" s="349" t="s">
        <v>26</v>
      </c>
      <c r="N129" s="350" t="s">
        <v>25</v>
      </c>
      <c r="O129" s="348" t="s">
        <v>24</v>
      </c>
      <c r="P129" s="349" t="s">
        <v>23</v>
      </c>
    </row>
    <row r="130" spans="2:16" x14ac:dyDescent="0.4">
      <c r="C130" s="375" t="s">
        <v>66</v>
      </c>
      <c r="D130" s="368"/>
      <c r="F130" s="347">
        <v>1</v>
      </c>
      <c r="G130" s="335">
        <v>17</v>
      </c>
      <c r="H130" s="336">
        <v>355</v>
      </c>
      <c r="I130" s="337">
        <v>487</v>
      </c>
      <c r="J130" s="337">
        <v>744</v>
      </c>
      <c r="K130" s="337">
        <v>749</v>
      </c>
      <c r="L130" s="337">
        <v>801</v>
      </c>
      <c r="M130" s="337">
        <v>1131</v>
      </c>
      <c r="N130" s="338">
        <v>351</v>
      </c>
      <c r="O130" s="336">
        <v>30</v>
      </c>
      <c r="P130" s="351">
        <f t="shared" ref="P130:P134" si="30">SUM(G130:O130)</f>
        <v>4665</v>
      </c>
    </row>
    <row r="131" spans="2:16" x14ac:dyDescent="0.4">
      <c r="C131" s="375" t="s">
        <v>65</v>
      </c>
      <c r="D131" s="368"/>
      <c r="F131" s="347">
        <v>2</v>
      </c>
      <c r="G131" s="335">
        <v>2</v>
      </c>
      <c r="H131" s="336">
        <v>37</v>
      </c>
      <c r="I131" s="337">
        <v>76</v>
      </c>
      <c r="J131" s="337">
        <v>130</v>
      </c>
      <c r="K131" s="337">
        <v>265</v>
      </c>
      <c r="L131" s="337">
        <v>434</v>
      </c>
      <c r="M131" s="337">
        <v>572</v>
      </c>
      <c r="N131" s="338">
        <v>177</v>
      </c>
      <c r="O131" s="336">
        <v>17</v>
      </c>
      <c r="P131" s="351">
        <f t="shared" si="30"/>
        <v>1710</v>
      </c>
    </row>
    <row r="132" spans="2:16" x14ac:dyDescent="0.4">
      <c r="C132" s="375" t="s">
        <v>64</v>
      </c>
      <c r="D132" s="368"/>
      <c r="F132" s="360">
        <v>3</v>
      </c>
      <c r="G132" s="335">
        <v>0</v>
      </c>
      <c r="H132" s="361">
        <v>1</v>
      </c>
      <c r="I132" s="362">
        <v>0</v>
      </c>
      <c r="J132" s="362">
        <v>3</v>
      </c>
      <c r="K132" s="362">
        <v>6</v>
      </c>
      <c r="L132" s="362">
        <v>19</v>
      </c>
      <c r="M132" s="362">
        <v>16</v>
      </c>
      <c r="N132" s="363">
        <v>10</v>
      </c>
      <c r="O132" s="336">
        <v>1</v>
      </c>
      <c r="P132" s="351">
        <f t="shared" si="30"/>
        <v>56</v>
      </c>
    </row>
    <row r="133" spans="2:16" x14ac:dyDescent="0.4">
      <c r="C133" s="369" t="s">
        <v>18</v>
      </c>
      <c r="D133" s="368"/>
      <c r="F133" s="364" t="s">
        <v>18</v>
      </c>
      <c r="G133" s="335">
        <v>0</v>
      </c>
      <c r="H133" s="361">
        <v>3</v>
      </c>
      <c r="I133" s="362">
        <v>2</v>
      </c>
      <c r="J133" s="362">
        <v>16</v>
      </c>
      <c r="K133" s="362">
        <v>16</v>
      </c>
      <c r="L133" s="362">
        <v>46</v>
      </c>
      <c r="M133" s="362">
        <v>85</v>
      </c>
      <c r="N133" s="363">
        <v>36</v>
      </c>
      <c r="O133" s="336">
        <v>5</v>
      </c>
      <c r="P133" s="351">
        <f t="shared" si="30"/>
        <v>209</v>
      </c>
    </row>
    <row r="134" spans="2:16" x14ac:dyDescent="0.4">
      <c r="D134" s="341"/>
      <c r="F134" s="365" t="s">
        <v>23</v>
      </c>
      <c r="G134" s="366">
        <f>SUM(G130:G133)</f>
        <v>19</v>
      </c>
      <c r="H134" s="366">
        <f>SUM(H130:H133)</f>
        <v>396</v>
      </c>
      <c r="I134" s="366">
        <f t="shared" ref="I134:O134" si="31">SUM(I130:I133)</f>
        <v>565</v>
      </c>
      <c r="J134" s="366">
        <f t="shared" si="31"/>
        <v>893</v>
      </c>
      <c r="K134" s="366">
        <f t="shared" si="31"/>
        <v>1036</v>
      </c>
      <c r="L134" s="366">
        <f t="shared" si="31"/>
        <v>1300</v>
      </c>
      <c r="M134" s="366">
        <f t="shared" si="31"/>
        <v>1804</v>
      </c>
      <c r="N134" s="366">
        <f t="shared" si="31"/>
        <v>574</v>
      </c>
      <c r="O134" s="366">
        <f t="shared" si="31"/>
        <v>53</v>
      </c>
      <c r="P134" s="351">
        <f t="shared" si="30"/>
        <v>6640</v>
      </c>
    </row>
    <row r="135" spans="2:16" x14ac:dyDescent="0.4">
      <c r="C135" s="376" t="s">
        <v>22</v>
      </c>
      <c r="D135" s="341"/>
      <c r="E135" s="341"/>
      <c r="F135" s="344"/>
      <c r="G135" s="344"/>
      <c r="H135" s="412"/>
      <c r="I135" s="412"/>
      <c r="J135" s="412"/>
      <c r="K135" s="412"/>
      <c r="L135" s="412"/>
      <c r="M135" s="412"/>
      <c r="N135" s="412"/>
      <c r="O135" s="412"/>
      <c r="P135" s="412"/>
    </row>
    <row r="136" spans="2:16" x14ac:dyDescent="0.4">
      <c r="C136" s="375" t="s">
        <v>66</v>
      </c>
      <c r="D136" s="341"/>
      <c r="E136" s="341"/>
      <c r="F136" s="377">
        <f>P130/$P$134</f>
        <v>0.70256024096385539</v>
      </c>
      <c r="G136" s="416"/>
      <c r="H136" s="412"/>
      <c r="I136" s="412"/>
      <c r="J136" s="412"/>
      <c r="K136" s="412"/>
      <c r="L136" s="412"/>
      <c r="M136" s="412"/>
      <c r="N136" s="412"/>
      <c r="O136" s="412"/>
      <c r="P136" s="412"/>
    </row>
    <row r="137" spans="2:16" x14ac:dyDescent="0.4">
      <c r="C137" s="375" t="s">
        <v>65</v>
      </c>
      <c r="D137" s="341"/>
      <c r="E137" s="341"/>
      <c r="F137" s="377">
        <f>P131/$P$134</f>
        <v>0.25753012048192769</v>
      </c>
      <c r="G137" s="416"/>
      <c r="H137" s="412"/>
      <c r="I137" s="412"/>
      <c r="J137" s="412"/>
      <c r="K137" s="412"/>
      <c r="L137" s="412"/>
      <c r="M137" s="412"/>
      <c r="N137" s="412"/>
      <c r="O137" s="412"/>
      <c r="P137" s="412"/>
    </row>
    <row r="138" spans="2:16" x14ac:dyDescent="0.4">
      <c r="C138" s="375" t="s">
        <v>64</v>
      </c>
      <c r="D138" s="341"/>
      <c r="E138" s="341"/>
      <c r="F138" s="377">
        <f>P132/$P$134</f>
        <v>8.4337349397590362E-3</v>
      </c>
      <c r="G138" s="416"/>
      <c r="H138" s="412"/>
      <c r="I138" s="412"/>
      <c r="J138" s="412"/>
      <c r="K138" s="412"/>
      <c r="L138" s="412"/>
      <c r="M138" s="412"/>
      <c r="N138" s="412"/>
      <c r="O138" s="412"/>
      <c r="P138" s="412"/>
    </row>
    <row r="139" spans="2:16" x14ac:dyDescent="0.4">
      <c r="C139" s="369" t="s">
        <v>18</v>
      </c>
      <c r="D139" s="341"/>
      <c r="E139" s="341"/>
      <c r="F139" s="377">
        <f>P133/$P$134</f>
        <v>3.1475903614457831E-2</v>
      </c>
      <c r="G139" s="416"/>
      <c r="H139" s="412"/>
      <c r="I139" s="412"/>
      <c r="J139" s="412"/>
      <c r="K139" s="412"/>
      <c r="L139" s="412"/>
      <c r="M139" s="412"/>
      <c r="N139" s="412"/>
      <c r="O139" s="412"/>
      <c r="P139" s="412"/>
    </row>
    <row r="141" spans="2:16" x14ac:dyDescent="0.4">
      <c r="B141" s="359" t="s">
        <v>54</v>
      </c>
      <c r="C141" s="341"/>
      <c r="D141" s="341"/>
      <c r="E141" s="341"/>
      <c r="F141" s="341"/>
      <c r="G141" s="339" t="s">
        <v>218</v>
      </c>
      <c r="H141" s="339" t="s">
        <v>31</v>
      </c>
      <c r="I141" s="339" t="s">
        <v>30</v>
      </c>
      <c r="J141" s="339" t="s">
        <v>29</v>
      </c>
      <c r="K141" s="339" t="s">
        <v>28</v>
      </c>
      <c r="L141" s="339" t="s">
        <v>27</v>
      </c>
      <c r="M141" s="339" t="s">
        <v>26</v>
      </c>
      <c r="N141" s="339" t="s">
        <v>25</v>
      </c>
      <c r="O141" s="339" t="s">
        <v>63</v>
      </c>
    </row>
    <row r="142" spans="2:16" x14ac:dyDescent="0.4">
      <c r="B142" s="341" t="s">
        <v>62</v>
      </c>
      <c r="C142" s="341"/>
      <c r="D142" s="341"/>
      <c r="E142" s="341"/>
      <c r="F142" s="341"/>
      <c r="G142" s="367">
        <f>G130/G134</f>
        <v>0.89473684210526316</v>
      </c>
      <c r="H142" s="367">
        <f>H130/H134</f>
        <v>0.89646464646464652</v>
      </c>
      <c r="I142" s="367">
        <f t="shared" ref="I142:O142" si="32">I130/I134</f>
        <v>0.86194690265486729</v>
      </c>
      <c r="J142" s="367">
        <f t="shared" si="32"/>
        <v>0.83314669652855544</v>
      </c>
      <c r="K142" s="367">
        <f t="shared" si="32"/>
        <v>0.72297297297297303</v>
      </c>
      <c r="L142" s="367">
        <f>L130/L134</f>
        <v>0.61615384615384616</v>
      </c>
      <c r="M142" s="367">
        <f t="shared" si="32"/>
        <v>0.62694013303769403</v>
      </c>
      <c r="N142" s="367">
        <f t="shared" si="32"/>
        <v>0.61149825783972123</v>
      </c>
      <c r="O142" s="367">
        <f t="shared" si="32"/>
        <v>0.56603773584905659</v>
      </c>
    </row>
    <row r="143" spans="2:16" x14ac:dyDescent="0.4">
      <c r="B143" s="341"/>
      <c r="C143" s="341"/>
      <c r="D143" s="341" t="s">
        <v>273</v>
      </c>
      <c r="E143" s="341"/>
      <c r="F143" s="341"/>
      <c r="H143" s="341"/>
      <c r="I143" s="341"/>
      <c r="J143" s="341"/>
      <c r="K143" s="341"/>
      <c r="L143" s="341"/>
      <c r="M143" s="341"/>
      <c r="N143" s="341"/>
      <c r="O143" s="341"/>
    </row>
    <row r="144" spans="2:16" s="341" customFormat="1" x14ac:dyDescent="0.4">
      <c r="B144" s="359" t="s">
        <v>295</v>
      </c>
      <c r="C144" s="359"/>
      <c r="D144" s="359"/>
      <c r="E144" s="359"/>
      <c r="G144" s="339"/>
      <c r="H144" s="341" t="s">
        <v>296</v>
      </c>
    </row>
    <row r="145" spans="2:16" s="341" customFormat="1" x14ac:dyDescent="0.4">
      <c r="D145" s="341" t="s">
        <v>294</v>
      </c>
      <c r="G145" s="339"/>
      <c r="H145" s="368">
        <v>0.621</v>
      </c>
    </row>
    <row r="146" spans="2:16" x14ac:dyDescent="0.4">
      <c r="C146" s="341"/>
      <c r="D146" s="341"/>
      <c r="E146" s="341"/>
      <c r="F146" s="341"/>
      <c r="H146" s="341"/>
      <c r="I146" s="341"/>
      <c r="J146" s="341"/>
      <c r="K146" s="341"/>
      <c r="L146" s="341"/>
      <c r="M146" s="341"/>
      <c r="N146" s="341"/>
      <c r="O146" s="341"/>
    </row>
    <row r="148" spans="2:16" x14ac:dyDescent="0.4">
      <c r="B148" s="341" t="s">
        <v>274</v>
      </c>
      <c r="P148" s="342" t="s">
        <v>59</v>
      </c>
    </row>
    <row r="149" spans="2:16" ht="14.25" customHeight="1" x14ac:dyDescent="0.4"/>
    <row r="150" spans="2:16" ht="17.25" customHeight="1" x14ac:dyDescent="0.4">
      <c r="F150" s="346"/>
      <c r="G150" s="347" t="s">
        <v>218</v>
      </c>
      <c r="H150" s="348" t="s">
        <v>31</v>
      </c>
      <c r="I150" s="349" t="s">
        <v>30</v>
      </c>
      <c r="J150" s="349" t="s">
        <v>29</v>
      </c>
      <c r="K150" s="349" t="s">
        <v>28</v>
      </c>
      <c r="L150" s="349" t="s">
        <v>27</v>
      </c>
      <c r="M150" s="349" t="s">
        <v>26</v>
      </c>
      <c r="N150" s="350" t="s">
        <v>25</v>
      </c>
      <c r="O150" s="348" t="s">
        <v>24</v>
      </c>
      <c r="P150" s="349" t="s">
        <v>23</v>
      </c>
    </row>
    <row r="151" spans="2:16" ht="14.25" customHeight="1" x14ac:dyDescent="0.4">
      <c r="F151" s="378" t="s">
        <v>58</v>
      </c>
      <c r="G151" s="335">
        <v>19</v>
      </c>
      <c r="H151" s="336">
        <v>373</v>
      </c>
      <c r="I151" s="337">
        <v>526</v>
      </c>
      <c r="J151" s="337">
        <v>808</v>
      </c>
      <c r="K151" s="337">
        <v>962</v>
      </c>
      <c r="L151" s="337">
        <v>1162</v>
      </c>
      <c r="M151" s="337">
        <v>1589</v>
      </c>
      <c r="N151" s="338">
        <v>514</v>
      </c>
      <c r="O151" s="336">
        <v>47</v>
      </c>
      <c r="P151" s="351">
        <f t="shared" ref="P151:P153" si="33">SUM(G151:O151)</f>
        <v>6000</v>
      </c>
    </row>
    <row r="152" spans="2:16" x14ac:dyDescent="0.4">
      <c r="F152" s="364" t="s">
        <v>18</v>
      </c>
      <c r="G152" s="335">
        <v>0</v>
      </c>
      <c r="H152" s="379">
        <v>23</v>
      </c>
      <c r="I152" s="380">
        <v>39</v>
      </c>
      <c r="J152" s="380">
        <v>85</v>
      </c>
      <c r="K152" s="380">
        <v>74</v>
      </c>
      <c r="L152" s="380">
        <v>138</v>
      </c>
      <c r="M152" s="380">
        <v>215</v>
      </c>
      <c r="N152" s="381">
        <v>60</v>
      </c>
      <c r="O152" s="379">
        <v>6</v>
      </c>
      <c r="P152" s="351">
        <f t="shared" si="33"/>
        <v>640</v>
      </c>
    </row>
    <row r="153" spans="2:16" x14ac:dyDescent="0.4">
      <c r="F153" s="365" t="s">
        <v>23</v>
      </c>
      <c r="G153" s="382">
        <v>19</v>
      </c>
      <c r="H153" s="382">
        <v>396</v>
      </c>
      <c r="I153" s="382">
        <v>565</v>
      </c>
      <c r="J153" s="382">
        <v>893</v>
      </c>
      <c r="K153" s="382">
        <v>1036</v>
      </c>
      <c r="L153" s="382">
        <v>1300</v>
      </c>
      <c r="M153" s="382">
        <v>1804</v>
      </c>
      <c r="N153" s="382">
        <v>574</v>
      </c>
      <c r="O153" s="382">
        <v>53</v>
      </c>
      <c r="P153" s="351">
        <f t="shared" si="33"/>
        <v>6640</v>
      </c>
    </row>
    <row r="154" spans="2:16" x14ac:dyDescent="0.4">
      <c r="F154" s="378" t="s">
        <v>57</v>
      </c>
      <c r="G154" s="335">
        <v>24</v>
      </c>
      <c r="H154" s="336">
        <v>16</v>
      </c>
      <c r="I154" s="337">
        <v>0</v>
      </c>
      <c r="J154" s="337">
        <v>0</v>
      </c>
      <c r="K154" s="337">
        <v>0</v>
      </c>
      <c r="L154" s="337">
        <v>0</v>
      </c>
      <c r="M154" s="337">
        <v>0</v>
      </c>
      <c r="N154" s="338">
        <v>0</v>
      </c>
      <c r="O154" s="336">
        <v>0</v>
      </c>
      <c r="P154" s="383"/>
    </row>
    <row r="155" spans="2:16" x14ac:dyDescent="0.4">
      <c r="F155" s="384" t="s">
        <v>56</v>
      </c>
      <c r="G155" s="335">
        <v>28</v>
      </c>
      <c r="H155" s="361">
        <v>32</v>
      </c>
      <c r="I155" s="362">
        <v>29</v>
      </c>
      <c r="J155" s="362">
        <v>31</v>
      </c>
      <c r="K155" s="362">
        <v>29</v>
      </c>
      <c r="L155" s="362">
        <v>30</v>
      </c>
      <c r="M155" s="362">
        <v>32</v>
      </c>
      <c r="N155" s="363">
        <v>28</v>
      </c>
      <c r="O155" s="336">
        <v>28</v>
      </c>
      <c r="P155" s="385"/>
    </row>
    <row r="156" spans="2:16" x14ac:dyDescent="0.4">
      <c r="F156" s="384" t="s">
        <v>55</v>
      </c>
      <c r="G156" s="386">
        <v>27.263157894736842</v>
      </c>
      <c r="H156" s="386">
        <v>27.592493297587133</v>
      </c>
      <c r="I156" s="387">
        <v>27.319391634980988</v>
      </c>
      <c r="J156" s="387">
        <v>26.554455445544555</v>
      </c>
      <c r="K156" s="387">
        <v>24.683991683991685</v>
      </c>
      <c r="L156" s="387">
        <v>20.746987951807228</v>
      </c>
      <c r="M156" s="387">
        <v>16.626179987413469</v>
      </c>
      <c r="N156" s="388">
        <v>12.784046692607005</v>
      </c>
      <c r="O156" s="389">
        <v>7.0851063829787231</v>
      </c>
      <c r="P156" s="385"/>
    </row>
    <row r="157" spans="2:16" x14ac:dyDescent="0.4">
      <c r="B157" s="359" t="s">
        <v>54</v>
      </c>
      <c r="C157" s="341"/>
      <c r="D157" s="341"/>
      <c r="E157" s="341"/>
    </row>
    <row r="158" spans="2:16" x14ac:dyDescent="0.4">
      <c r="B158" s="359" t="s">
        <v>275</v>
      </c>
      <c r="C158" s="341"/>
      <c r="D158" s="341"/>
      <c r="E158" s="341"/>
    </row>
    <row r="159" spans="2:16" x14ac:dyDescent="0.4">
      <c r="B159" s="341"/>
      <c r="C159" s="341"/>
      <c r="D159" s="341" t="s">
        <v>276</v>
      </c>
      <c r="E159" s="341"/>
      <c r="H159" s="341" t="s">
        <v>51</v>
      </c>
      <c r="I159" s="341"/>
      <c r="K159" s="341" t="s">
        <v>50</v>
      </c>
      <c r="L159" s="341"/>
    </row>
    <row r="160" spans="2:16" x14ac:dyDescent="0.4">
      <c r="B160" s="341" t="s">
        <v>277</v>
      </c>
      <c r="C160" s="341"/>
      <c r="D160" s="341"/>
      <c r="E160" s="341"/>
      <c r="H160" s="341" t="s">
        <v>48</v>
      </c>
      <c r="I160" s="390">
        <v>993</v>
      </c>
      <c r="K160" s="341" t="s">
        <v>48</v>
      </c>
      <c r="L160" s="390">
        <v>1053</v>
      </c>
    </row>
    <row r="161" spans="2:17" x14ac:dyDescent="0.4">
      <c r="B161" s="341"/>
      <c r="C161" s="341"/>
      <c r="D161" s="341" t="s">
        <v>278</v>
      </c>
      <c r="E161" s="341"/>
      <c r="H161" s="341" t="s">
        <v>46</v>
      </c>
      <c r="I161" s="372">
        <v>22951</v>
      </c>
      <c r="K161" s="341" t="s">
        <v>46</v>
      </c>
      <c r="L161" s="372">
        <v>15020</v>
      </c>
    </row>
    <row r="162" spans="2:17" x14ac:dyDescent="0.4">
      <c r="H162" s="341" t="s">
        <v>45</v>
      </c>
      <c r="I162" s="391">
        <v>23.112789526686807</v>
      </c>
      <c r="K162" s="341" t="s">
        <v>45</v>
      </c>
      <c r="L162" s="391">
        <v>14.26400759734093</v>
      </c>
    </row>
    <row r="163" spans="2:17" x14ac:dyDescent="0.4">
      <c r="H163" s="341" t="s">
        <v>44</v>
      </c>
      <c r="I163" s="390">
        <v>640</v>
      </c>
      <c r="K163" s="341" t="s">
        <v>44</v>
      </c>
      <c r="L163" s="390">
        <v>432</v>
      </c>
    </row>
    <row r="164" spans="2:17" x14ac:dyDescent="0.4">
      <c r="H164" s="341" t="s">
        <v>43</v>
      </c>
      <c r="I164" s="394">
        <f>I163/I160</f>
        <v>0.64451158106747231</v>
      </c>
      <c r="K164" s="341" t="s">
        <v>43</v>
      </c>
      <c r="L164" s="394">
        <f>L163/L160</f>
        <v>0.41025641025641024</v>
      </c>
    </row>
    <row r="165" spans="2:17" x14ac:dyDescent="0.4">
      <c r="H165" s="417"/>
      <c r="K165" s="417"/>
    </row>
    <row r="166" spans="2:17" x14ac:dyDescent="0.4">
      <c r="H166" s="417"/>
      <c r="K166" s="417"/>
    </row>
    <row r="167" spans="2:17" x14ac:dyDescent="0.4">
      <c r="B167" s="341" t="s">
        <v>279</v>
      </c>
      <c r="P167" s="342" t="s">
        <v>32</v>
      </c>
    </row>
    <row r="168" spans="2:17" x14ac:dyDescent="0.4">
      <c r="P168" s="342"/>
    </row>
    <row r="169" spans="2:17" ht="18" customHeight="1" x14ac:dyDescent="0.4">
      <c r="F169" s="346"/>
      <c r="G169" s="347" t="s">
        <v>218</v>
      </c>
      <c r="H169" s="348" t="s">
        <v>31</v>
      </c>
      <c r="I169" s="349" t="s">
        <v>30</v>
      </c>
      <c r="J169" s="349" t="s">
        <v>29</v>
      </c>
      <c r="K169" s="349" t="s">
        <v>28</v>
      </c>
      <c r="L169" s="349" t="s">
        <v>27</v>
      </c>
      <c r="M169" s="349" t="s">
        <v>26</v>
      </c>
      <c r="N169" s="350" t="s">
        <v>25</v>
      </c>
      <c r="O169" s="348" t="s">
        <v>24</v>
      </c>
      <c r="P169" s="349" t="s">
        <v>23</v>
      </c>
    </row>
    <row r="170" spans="2:17" x14ac:dyDescent="0.4">
      <c r="C170" s="341" t="s">
        <v>38</v>
      </c>
      <c r="D170" s="341"/>
      <c r="F170" s="347">
        <v>1</v>
      </c>
      <c r="G170" s="335">
        <v>0</v>
      </c>
      <c r="H170" s="336">
        <v>72</v>
      </c>
      <c r="I170" s="337">
        <v>103</v>
      </c>
      <c r="J170" s="337">
        <v>220</v>
      </c>
      <c r="K170" s="337">
        <v>214</v>
      </c>
      <c r="L170" s="337">
        <v>173</v>
      </c>
      <c r="M170" s="337">
        <v>159</v>
      </c>
      <c r="N170" s="338">
        <v>16</v>
      </c>
      <c r="O170" s="336">
        <v>2</v>
      </c>
      <c r="P170" s="351">
        <f t="shared" ref="P170:P174" si="34">SUM(G170:O170)</f>
        <v>959</v>
      </c>
    </row>
    <row r="171" spans="2:17" x14ac:dyDescent="0.4">
      <c r="C171" s="341" t="s">
        <v>41</v>
      </c>
      <c r="D171" s="341"/>
      <c r="F171" s="347">
        <v>2</v>
      </c>
      <c r="G171" s="335">
        <v>0</v>
      </c>
      <c r="H171" s="336">
        <v>35</v>
      </c>
      <c r="I171" s="337">
        <v>102</v>
      </c>
      <c r="J171" s="337">
        <v>225</v>
      </c>
      <c r="K171" s="337">
        <v>308</v>
      </c>
      <c r="L171" s="337">
        <v>410</v>
      </c>
      <c r="M171" s="337">
        <v>562</v>
      </c>
      <c r="N171" s="338">
        <v>156</v>
      </c>
      <c r="O171" s="336">
        <v>8</v>
      </c>
      <c r="P171" s="351">
        <f t="shared" si="34"/>
        <v>1806</v>
      </c>
    </row>
    <row r="172" spans="2:17" x14ac:dyDescent="0.4">
      <c r="C172" s="341" t="s">
        <v>40</v>
      </c>
      <c r="D172" s="341"/>
      <c r="F172" s="347">
        <v>3</v>
      </c>
      <c r="G172" s="335">
        <v>19</v>
      </c>
      <c r="H172" s="336">
        <v>281</v>
      </c>
      <c r="I172" s="337">
        <v>348</v>
      </c>
      <c r="J172" s="337">
        <v>415</v>
      </c>
      <c r="K172" s="337">
        <v>486</v>
      </c>
      <c r="L172" s="337">
        <v>639</v>
      </c>
      <c r="M172" s="337">
        <v>964</v>
      </c>
      <c r="N172" s="338">
        <v>368</v>
      </c>
      <c r="O172" s="336">
        <v>34</v>
      </c>
      <c r="P172" s="351">
        <f t="shared" si="34"/>
        <v>3554</v>
      </c>
    </row>
    <row r="173" spans="2:17" x14ac:dyDescent="0.4">
      <c r="C173" s="341"/>
      <c r="D173" s="341"/>
      <c r="F173" s="364" t="s">
        <v>18</v>
      </c>
      <c r="G173" s="335">
        <v>0</v>
      </c>
      <c r="H173" s="361">
        <v>8</v>
      </c>
      <c r="I173" s="362">
        <v>12</v>
      </c>
      <c r="J173" s="362">
        <v>33</v>
      </c>
      <c r="K173" s="362">
        <v>28</v>
      </c>
      <c r="L173" s="362">
        <v>78</v>
      </c>
      <c r="M173" s="362">
        <v>119</v>
      </c>
      <c r="N173" s="363">
        <v>34</v>
      </c>
      <c r="O173" s="336">
        <v>9</v>
      </c>
      <c r="P173" s="351">
        <f t="shared" si="34"/>
        <v>321</v>
      </c>
    </row>
    <row r="174" spans="2:17" x14ac:dyDescent="0.4">
      <c r="C174" s="341"/>
      <c r="D174" s="341"/>
      <c r="F174" s="365" t="s">
        <v>23</v>
      </c>
      <c r="G174" s="366">
        <f>SUM(G170:G173)</f>
        <v>19</v>
      </c>
      <c r="H174" s="366">
        <f>SUM(H170:H173)</f>
        <v>396</v>
      </c>
      <c r="I174" s="366">
        <f t="shared" ref="I174:O174" si="35">SUM(I170:I173)</f>
        <v>565</v>
      </c>
      <c r="J174" s="366">
        <f t="shared" si="35"/>
        <v>893</v>
      </c>
      <c r="K174" s="366">
        <f t="shared" si="35"/>
        <v>1036</v>
      </c>
      <c r="L174" s="366">
        <f t="shared" si="35"/>
        <v>1300</v>
      </c>
      <c r="M174" s="366">
        <f t="shared" si="35"/>
        <v>1804</v>
      </c>
      <c r="N174" s="366">
        <f t="shared" si="35"/>
        <v>574</v>
      </c>
      <c r="O174" s="366">
        <f t="shared" si="35"/>
        <v>53</v>
      </c>
      <c r="P174" s="351">
        <f t="shared" si="34"/>
        <v>6640</v>
      </c>
      <c r="Q174" s="353"/>
    </row>
    <row r="175" spans="2:17" x14ac:dyDescent="0.4">
      <c r="C175" s="341" t="s">
        <v>22</v>
      </c>
      <c r="D175" s="341"/>
      <c r="F175" s="392" t="s">
        <v>39</v>
      </c>
      <c r="G175" s="356">
        <f>G170/G174</f>
        <v>0</v>
      </c>
      <c r="H175" s="356">
        <f>H170/H174</f>
        <v>0.18181818181818182</v>
      </c>
      <c r="I175" s="356">
        <f>I170/I174</f>
        <v>0.18230088495575222</v>
      </c>
      <c r="J175" s="356">
        <f>J170/J174</f>
        <v>0.24636058230683092</v>
      </c>
      <c r="K175" s="356">
        <f t="shared" ref="K175:N175" si="36">K170/K174</f>
        <v>0.20656370656370657</v>
      </c>
      <c r="L175" s="356">
        <f t="shared" si="36"/>
        <v>0.13307692307692306</v>
      </c>
      <c r="M175" s="356">
        <f t="shared" si="36"/>
        <v>8.8137472283813745E-2</v>
      </c>
      <c r="N175" s="356">
        <f t="shared" si="36"/>
        <v>2.7874564459930314E-2</v>
      </c>
      <c r="O175" s="356">
        <f>O170/O174</f>
        <v>3.7735849056603772E-2</v>
      </c>
      <c r="P175" s="393"/>
    </row>
    <row r="176" spans="2:17" x14ac:dyDescent="0.4">
      <c r="C176" s="341" t="s">
        <v>38</v>
      </c>
      <c r="D176" s="368">
        <f>P170/$P$174</f>
        <v>0.1444277108433735</v>
      </c>
      <c r="J176" s="411"/>
    </row>
    <row r="177" spans="2:16" x14ac:dyDescent="0.4">
      <c r="C177" s="376" t="s">
        <v>280</v>
      </c>
      <c r="D177" s="368">
        <f>P171/$P$174</f>
        <v>0.2719879518072289</v>
      </c>
    </row>
    <row r="178" spans="2:16" x14ac:dyDescent="0.4">
      <c r="C178" s="341" t="s">
        <v>36</v>
      </c>
      <c r="D178" s="368">
        <f>P172/$P$174</f>
        <v>0.53524096385542164</v>
      </c>
      <c r="K178" s="353"/>
    </row>
    <row r="179" spans="2:16" x14ac:dyDescent="0.4">
      <c r="C179" s="369" t="s">
        <v>18</v>
      </c>
      <c r="D179" s="368">
        <f>P173/$P$174</f>
        <v>4.8343373493975904E-2</v>
      </c>
    </row>
    <row r="181" spans="2:16" x14ac:dyDescent="0.4">
      <c r="B181" s="341" t="s">
        <v>281</v>
      </c>
      <c r="C181" s="341"/>
      <c r="D181" s="341"/>
      <c r="E181" s="341"/>
      <c r="F181" s="341"/>
      <c r="H181" s="341"/>
      <c r="I181" s="341"/>
      <c r="J181" s="341"/>
      <c r="K181" s="341"/>
      <c r="L181" s="341"/>
      <c r="M181" s="341"/>
      <c r="N181" s="341"/>
      <c r="O181" s="341"/>
      <c r="P181" s="342" t="s">
        <v>32</v>
      </c>
    </row>
    <row r="182" spans="2:16" x14ac:dyDescent="0.4">
      <c r="B182" s="341"/>
      <c r="C182" s="341"/>
      <c r="D182" s="341"/>
      <c r="E182" s="341"/>
      <c r="F182" s="341"/>
      <c r="H182" s="341"/>
      <c r="I182" s="341"/>
      <c r="J182" s="341"/>
      <c r="K182" s="341"/>
      <c r="L182" s="341"/>
      <c r="M182" s="341"/>
      <c r="N182" s="341"/>
      <c r="O182" s="341"/>
      <c r="P182" s="341"/>
    </row>
    <row r="183" spans="2:16" ht="18" customHeight="1" x14ac:dyDescent="0.4">
      <c r="B183" s="341"/>
      <c r="C183" s="341"/>
      <c r="D183" s="341"/>
      <c r="E183" s="341"/>
      <c r="F183" s="346"/>
      <c r="G183" s="347" t="s">
        <v>218</v>
      </c>
      <c r="H183" s="348" t="s">
        <v>31</v>
      </c>
      <c r="I183" s="349" t="s">
        <v>30</v>
      </c>
      <c r="J183" s="349" t="s">
        <v>29</v>
      </c>
      <c r="K183" s="349" t="s">
        <v>28</v>
      </c>
      <c r="L183" s="349" t="s">
        <v>27</v>
      </c>
      <c r="M183" s="349" t="s">
        <v>26</v>
      </c>
      <c r="N183" s="350" t="s">
        <v>25</v>
      </c>
      <c r="O183" s="348" t="s">
        <v>24</v>
      </c>
      <c r="P183" s="349" t="s">
        <v>23</v>
      </c>
    </row>
    <row r="184" spans="2:16" x14ac:dyDescent="0.4">
      <c r="B184" s="341"/>
      <c r="C184" s="341" t="s">
        <v>21</v>
      </c>
      <c r="D184" s="341"/>
      <c r="E184" s="341"/>
      <c r="F184" s="347">
        <v>1</v>
      </c>
      <c r="G184" s="335">
        <v>12</v>
      </c>
      <c r="H184" s="336">
        <v>198</v>
      </c>
      <c r="I184" s="337">
        <v>304</v>
      </c>
      <c r="J184" s="337">
        <v>348</v>
      </c>
      <c r="K184" s="337">
        <v>357</v>
      </c>
      <c r="L184" s="337">
        <v>422</v>
      </c>
      <c r="M184" s="337">
        <v>663</v>
      </c>
      <c r="N184" s="338">
        <v>234</v>
      </c>
      <c r="O184" s="336">
        <v>26</v>
      </c>
      <c r="P184" s="351">
        <f t="shared" ref="P184:P188" si="37">SUM(G184:O184)</f>
        <v>2564</v>
      </c>
    </row>
    <row r="185" spans="2:16" x14ac:dyDescent="0.4">
      <c r="B185" s="341"/>
      <c r="C185" s="341" t="s">
        <v>20</v>
      </c>
      <c r="D185" s="341"/>
      <c r="E185" s="341"/>
      <c r="F185" s="347">
        <v>2</v>
      </c>
      <c r="G185" s="335">
        <v>4</v>
      </c>
      <c r="H185" s="336">
        <v>95</v>
      </c>
      <c r="I185" s="337">
        <v>113</v>
      </c>
      <c r="J185" s="337">
        <v>209</v>
      </c>
      <c r="K185" s="337">
        <v>220</v>
      </c>
      <c r="L185" s="337">
        <v>247</v>
      </c>
      <c r="M185" s="337">
        <v>367</v>
      </c>
      <c r="N185" s="338">
        <v>101</v>
      </c>
      <c r="O185" s="336">
        <v>6</v>
      </c>
      <c r="P185" s="351">
        <f t="shared" si="37"/>
        <v>1362</v>
      </c>
    </row>
    <row r="186" spans="2:16" x14ac:dyDescent="0.4">
      <c r="B186" s="341"/>
      <c r="C186" s="341" t="s">
        <v>19</v>
      </c>
      <c r="D186" s="341"/>
      <c r="E186" s="341"/>
      <c r="F186" s="360">
        <v>3</v>
      </c>
      <c r="G186" s="335">
        <v>3</v>
      </c>
      <c r="H186" s="361">
        <v>95</v>
      </c>
      <c r="I186" s="362">
        <v>132</v>
      </c>
      <c r="J186" s="362">
        <v>300</v>
      </c>
      <c r="K186" s="362">
        <v>420</v>
      </c>
      <c r="L186" s="362">
        <v>536</v>
      </c>
      <c r="M186" s="362">
        <v>618</v>
      </c>
      <c r="N186" s="363">
        <v>165</v>
      </c>
      <c r="O186" s="336">
        <v>11</v>
      </c>
      <c r="P186" s="351">
        <f t="shared" si="37"/>
        <v>2280</v>
      </c>
    </row>
    <row r="187" spans="2:16" x14ac:dyDescent="0.4">
      <c r="B187" s="341"/>
      <c r="C187" s="341"/>
      <c r="D187" s="341"/>
      <c r="E187" s="341"/>
      <c r="F187" s="364" t="s">
        <v>18</v>
      </c>
      <c r="G187" s="335">
        <v>0</v>
      </c>
      <c r="H187" s="361">
        <v>8</v>
      </c>
      <c r="I187" s="362">
        <v>16</v>
      </c>
      <c r="J187" s="362">
        <v>36</v>
      </c>
      <c r="K187" s="362">
        <v>39</v>
      </c>
      <c r="L187" s="362">
        <v>95</v>
      </c>
      <c r="M187" s="362">
        <v>156</v>
      </c>
      <c r="N187" s="363">
        <v>74</v>
      </c>
      <c r="O187" s="336">
        <v>10</v>
      </c>
      <c r="P187" s="351">
        <f t="shared" si="37"/>
        <v>434</v>
      </c>
    </row>
    <row r="188" spans="2:16" x14ac:dyDescent="0.4">
      <c r="B188" s="341"/>
      <c r="C188" s="341"/>
      <c r="D188" s="341"/>
      <c r="E188" s="341"/>
      <c r="F188" s="365" t="s">
        <v>23</v>
      </c>
      <c r="G188" s="366">
        <f>SUM(G184:G187)</f>
        <v>19</v>
      </c>
      <c r="H188" s="366">
        <f>SUM(H184:H187)</f>
        <v>396</v>
      </c>
      <c r="I188" s="366">
        <f t="shared" ref="I188:O188" si="38">SUM(I184:I187)</f>
        <v>565</v>
      </c>
      <c r="J188" s="366">
        <f t="shared" si="38"/>
        <v>893</v>
      </c>
      <c r="K188" s="366">
        <f t="shared" si="38"/>
        <v>1036</v>
      </c>
      <c r="L188" s="366">
        <f t="shared" si="38"/>
        <v>1300</v>
      </c>
      <c r="M188" s="366">
        <f t="shared" si="38"/>
        <v>1804</v>
      </c>
      <c r="N188" s="366">
        <f t="shared" si="38"/>
        <v>574</v>
      </c>
      <c r="O188" s="366">
        <f t="shared" si="38"/>
        <v>53</v>
      </c>
      <c r="P188" s="351">
        <f t="shared" si="37"/>
        <v>6640</v>
      </c>
    </row>
    <row r="189" spans="2:16" x14ac:dyDescent="0.4">
      <c r="B189" s="341"/>
      <c r="C189" s="341" t="s">
        <v>22</v>
      </c>
      <c r="D189" s="341"/>
      <c r="E189" s="341"/>
      <c r="F189" s="341"/>
      <c r="H189" s="341"/>
      <c r="I189" s="341"/>
      <c r="J189" s="341"/>
      <c r="K189" s="341"/>
      <c r="L189" s="341"/>
      <c r="M189" s="341"/>
      <c r="N189" s="341"/>
      <c r="O189" s="341"/>
      <c r="P189" s="341"/>
    </row>
    <row r="190" spans="2:16" x14ac:dyDescent="0.4">
      <c r="B190" s="341"/>
      <c r="C190" s="341" t="s">
        <v>21</v>
      </c>
      <c r="D190" s="341"/>
      <c r="E190" s="368">
        <f>P184/$P$188</f>
        <v>0.386144578313253</v>
      </c>
      <c r="F190" s="341"/>
      <c r="H190" s="341"/>
      <c r="I190" s="341"/>
      <c r="J190" s="341"/>
      <c r="K190" s="341"/>
      <c r="L190" s="341"/>
      <c r="M190" s="341"/>
      <c r="N190" s="341"/>
      <c r="O190" s="341"/>
      <c r="P190" s="341"/>
    </row>
    <row r="191" spans="2:16" x14ac:dyDescent="0.4">
      <c r="B191" s="341"/>
      <c r="C191" s="341" t="s">
        <v>20</v>
      </c>
      <c r="D191" s="341"/>
      <c r="E191" s="368">
        <f>P185/$P$188</f>
        <v>0.20512048192771085</v>
      </c>
      <c r="F191" s="341"/>
      <c r="H191" s="341"/>
      <c r="I191" s="341"/>
      <c r="J191" s="341"/>
      <c r="K191" s="341"/>
      <c r="L191" s="341"/>
      <c r="M191" s="341"/>
      <c r="N191" s="341"/>
      <c r="O191" s="341"/>
      <c r="P191" s="341"/>
    </row>
    <row r="192" spans="2:16" x14ac:dyDescent="0.4">
      <c r="B192" s="341"/>
      <c r="C192" s="341" t="s">
        <v>19</v>
      </c>
      <c r="D192" s="341"/>
      <c r="E192" s="368">
        <f>P186/$P$188</f>
        <v>0.34337349397590361</v>
      </c>
      <c r="F192" s="341"/>
      <c r="H192" s="341"/>
      <c r="I192" s="341"/>
      <c r="J192" s="341"/>
      <c r="K192" s="341"/>
      <c r="L192" s="341"/>
      <c r="M192" s="341"/>
      <c r="N192" s="341"/>
      <c r="O192" s="341"/>
      <c r="P192" s="341"/>
    </row>
    <row r="193" spans="2:16" x14ac:dyDescent="0.4">
      <c r="B193" s="341"/>
      <c r="C193" s="369" t="s">
        <v>18</v>
      </c>
      <c r="D193" s="369"/>
      <c r="E193" s="368">
        <f>P187/$P$188</f>
        <v>6.5361445783132535E-2</v>
      </c>
      <c r="F193" s="341"/>
      <c r="H193" s="341"/>
      <c r="I193" s="341"/>
      <c r="J193" s="341"/>
      <c r="K193" s="341"/>
      <c r="L193" s="341"/>
      <c r="M193" s="341"/>
      <c r="N193" s="341"/>
      <c r="O193" s="341"/>
      <c r="P193" s="341"/>
    </row>
    <row r="195" spans="2:16" x14ac:dyDescent="0.4">
      <c r="B195" s="341" t="s">
        <v>282</v>
      </c>
      <c r="P195" s="342" t="s">
        <v>32</v>
      </c>
    </row>
    <row r="197" spans="2:16" ht="15.75" customHeight="1" x14ac:dyDescent="0.4">
      <c r="F197" s="346"/>
      <c r="G197" s="347" t="s">
        <v>218</v>
      </c>
      <c r="H197" s="348" t="s">
        <v>31</v>
      </c>
      <c r="I197" s="349" t="s">
        <v>30</v>
      </c>
      <c r="J197" s="349" t="s">
        <v>29</v>
      </c>
      <c r="K197" s="349" t="s">
        <v>28</v>
      </c>
      <c r="L197" s="349" t="s">
        <v>27</v>
      </c>
      <c r="M197" s="349" t="s">
        <v>26</v>
      </c>
      <c r="N197" s="350" t="s">
        <v>25</v>
      </c>
      <c r="O197" s="348" t="s">
        <v>24</v>
      </c>
      <c r="P197" s="349" t="s">
        <v>23</v>
      </c>
    </row>
    <row r="198" spans="2:16" x14ac:dyDescent="0.4">
      <c r="C198" s="341" t="s">
        <v>21</v>
      </c>
      <c r="F198" s="347">
        <v>1</v>
      </c>
      <c r="G198" s="335">
        <v>15</v>
      </c>
      <c r="H198" s="336">
        <v>283</v>
      </c>
      <c r="I198" s="337">
        <v>405</v>
      </c>
      <c r="J198" s="337">
        <v>605</v>
      </c>
      <c r="K198" s="337">
        <v>688</v>
      </c>
      <c r="L198" s="337">
        <v>767</v>
      </c>
      <c r="M198" s="337">
        <v>1035</v>
      </c>
      <c r="N198" s="338">
        <v>300</v>
      </c>
      <c r="O198" s="336">
        <v>27</v>
      </c>
      <c r="P198" s="351">
        <f t="shared" ref="P198:P199" si="39">SUM(G198:O198)</f>
        <v>4125</v>
      </c>
    </row>
    <row r="199" spans="2:16" x14ac:dyDescent="0.4">
      <c r="C199" s="341" t="s">
        <v>20</v>
      </c>
      <c r="F199" s="347">
        <v>2</v>
      </c>
      <c r="G199" s="335">
        <v>2</v>
      </c>
      <c r="H199" s="336">
        <v>81</v>
      </c>
      <c r="I199" s="337">
        <v>102</v>
      </c>
      <c r="J199" s="337">
        <v>190</v>
      </c>
      <c r="K199" s="337">
        <v>235</v>
      </c>
      <c r="L199" s="337">
        <v>348</v>
      </c>
      <c r="M199" s="337">
        <v>430</v>
      </c>
      <c r="N199" s="338">
        <v>138</v>
      </c>
      <c r="O199" s="336">
        <v>6</v>
      </c>
      <c r="P199" s="351">
        <f t="shared" si="39"/>
        <v>1532</v>
      </c>
    </row>
    <row r="200" spans="2:16" x14ac:dyDescent="0.4">
      <c r="C200" s="341" t="s">
        <v>19</v>
      </c>
      <c r="F200" s="360">
        <v>3</v>
      </c>
      <c r="G200" s="335">
        <v>2</v>
      </c>
      <c r="H200" s="361">
        <v>23</v>
      </c>
      <c r="I200" s="362">
        <v>42</v>
      </c>
      <c r="J200" s="362">
        <v>58</v>
      </c>
      <c r="K200" s="362">
        <v>70</v>
      </c>
      <c r="L200" s="362">
        <v>78</v>
      </c>
      <c r="M200" s="362">
        <v>128</v>
      </c>
      <c r="N200" s="363">
        <v>34</v>
      </c>
      <c r="O200" s="336">
        <v>8</v>
      </c>
      <c r="P200" s="351">
        <f>SUM(G200:O200)</f>
        <v>443</v>
      </c>
    </row>
    <row r="201" spans="2:16" x14ac:dyDescent="0.4">
      <c r="C201" s="341"/>
      <c r="F201" s="364" t="s">
        <v>18</v>
      </c>
      <c r="G201" s="335">
        <v>0</v>
      </c>
      <c r="H201" s="361">
        <v>9</v>
      </c>
      <c r="I201" s="362">
        <v>16</v>
      </c>
      <c r="J201" s="362">
        <v>40</v>
      </c>
      <c r="K201" s="362">
        <v>43</v>
      </c>
      <c r="L201" s="362">
        <v>107</v>
      </c>
      <c r="M201" s="362">
        <v>211</v>
      </c>
      <c r="N201" s="363">
        <v>102</v>
      </c>
      <c r="O201" s="336">
        <v>12</v>
      </c>
      <c r="P201" s="351">
        <f>SUM(G201:O201)</f>
        <v>540</v>
      </c>
    </row>
    <row r="202" spans="2:16" x14ac:dyDescent="0.4">
      <c r="C202" s="341"/>
      <c r="F202" s="365" t="s">
        <v>23</v>
      </c>
      <c r="G202" s="366">
        <f>SUM(G198:G201)</f>
        <v>19</v>
      </c>
      <c r="H202" s="366">
        <f>SUM(H198:H201)</f>
        <v>396</v>
      </c>
      <c r="I202" s="366">
        <f t="shared" ref="I202:O202" si="40">SUM(I198:I201)</f>
        <v>565</v>
      </c>
      <c r="J202" s="366">
        <f t="shared" si="40"/>
        <v>893</v>
      </c>
      <c r="K202" s="366">
        <f t="shared" si="40"/>
        <v>1036</v>
      </c>
      <c r="L202" s="366">
        <f t="shared" si="40"/>
        <v>1300</v>
      </c>
      <c r="M202" s="366">
        <f t="shared" si="40"/>
        <v>1804</v>
      </c>
      <c r="N202" s="366">
        <f t="shared" si="40"/>
        <v>574</v>
      </c>
      <c r="O202" s="366">
        <f t="shared" si="40"/>
        <v>53</v>
      </c>
      <c r="P202" s="366">
        <f>SUM(P198:P201)</f>
        <v>6640</v>
      </c>
    </row>
    <row r="203" spans="2:16" x14ac:dyDescent="0.4">
      <c r="C203" s="341" t="s">
        <v>22</v>
      </c>
    </row>
    <row r="204" spans="2:16" x14ac:dyDescent="0.4">
      <c r="C204" s="341" t="s">
        <v>21</v>
      </c>
      <c r="D204" s="341"/>
      <c r="E204" s="368">
        <f>P198/$P$202</f>
        <v>0.6212349397590361</v>
      </c>
    </row>
    <row r="205" spans="2:16" x14ac:dyDescent="0.4">
      <c r="C205" s="341" t="s">
        <v>20</v>
      </c>
      <c r="D205" s="341"/>
      <c r="E205" s="368">
        <f>P199/$P$202</f>
        <v>0.23072289156626505</v>
      </c>
    </row>
    <row r="206" spans="2:16" x14ac:dyDescent="0.4">
      <c r="C206" s="341" t="s">
        <v>19</v>
      </c>
      <c r="D206" s="341"/>
      <c r="E206" s="368">
        <f>P200/$P$202</f>
        <v>6.6716867469879523E-2</v>
      </c>
    </row>
    <row r="207" spans="2:16" x14ac:dyDescent="0.4">
      <c r="C207" s="369" t="s">
        <v>18</v>
      </c>
      <c r="D207" s="369"/>
      <c r="E207" s="368">
        <f>P201/$P$202</f>
        <v>8.1325301204819275E-2</v>
      </c>
    </row>
    <row r="209" spans="2:17" x14ac:dyDescent="0.4">
      <c r="B209" s="341" t="s">
        <v>283</v>
      </c>
      <c r="C209" s="341"/>
      <c r="D209" s="341"/>
      <c r="E209" s="341"/>
      <c r="F209" s="341"/>
      <c r="H209" s="341"/>
      <c r="I209" s="341"/>
      <c r="J209" s="341"/>
      <c r="K209" s="341"/>
      <c r="L209" s="341"/>
      <c r="M209" s="341"/>
      <c r="N209" s="341"/>
      <c r="O209" s="341"/>
      <c r="P209" s="342" t="s">
        <v>32</v>
      </c>
    </row>
    <row r="211" spans="2:17" ht="17.25" customHeight="1" x14ac:dyDescent="0.4">
      <c r="C211" s="341"/>
      <c r="D211" s="341"/>
      <c r="E211" s="341"/>
      <c r="F211" s="346"/>
      <c r="G211" s="347" t="s">
        <v>218</v>
      </c>
      <c r="H211" s="348" t="s">
        <v>31</v>
      </c>
      <c r="I211" s="349" t="s">
        <v>30</v>
      </c>
      <c r="J211" s="349" t="s">
        <v>29</v>
      </c>
      <c r="K211" s="349" t="s">
        <v>28</v>
      </c>
      <c r="L211" s="349" t="s">
        <v>27</v>
      </c>
      <c r="M211" s="349" t="s">
        <v>26</v>
      </c>
      <c r="N211" s="350" t="s">
        <v>25</v>
      </c>
      <c r="O211" s="348" t="s">
        <v>24</v>
      </c>
      <c r="P211" s="349" t="s">
        <v>23</v>
      </c>
    </row>
    <row r="212" spans="2:17" x14ac:dyDescent="0.4">
      <c r="C212" s="341" t="s">
        <v>21</v>
      </c>
      <c r="D212" s="341"/>
      <c r="E212" s="341"/>
      <c r="F212" s="347">
        <v>1</v>
      </c>
      <c r="G212" s="335">
        <v>16</v>
      </c>
      <c r="H212" s="336">
        <v>239</v>
      </c>
      <c r="I212" s="337">
        <v>375</v>
      </c>
      <c r="J212" s="337">
        <v>568</v>
      </c>
      <c r="K212" s="337">
        <v>638</v>
      </c>
      <c r="L212" s="337">
        <v>719</v>
      </c>
      <c r="M212" s="337">
        <v>1020</v>
      </c>
      <c r="N212" s="338">
        <v>316</v>
      </c>
      <c r="O212" s="336">
        <v>25</v>
      </c>
      <c r="P212" s="351">
        <f t="shared" ref="P212:P216" si="41">SUM(G212:O212)</f>
        <v>3916</v>
      </c>
    </row>
    <row r="213" spans="2:17" x14ac:dyDescent="0.4">
      <c r="C213" s="341" t="s">
        <v>20</v>
      </c>
      <c r="D213" s="341"/>
      <c r="E213" s="341"/>
      <c r="F213" s="347">
        <v>2</v>
      </c>
      <c r="G213" s="335">
        <v>3</v>
      </c>
      <c r="H213" s="336">
        <v>97</v>
      </c>
      <c r="I213" s="337">
        <v>121</v>
      </c>
      <c r="J213" s="337">
        <v>205</v>
      </c>
      <c r="K213" s="337">
        <v>266</v>
      </c>
      <c r="L213" s="337">
        <v>359</v>
      </c>
      <c r="M213" s="337">
        <v>422</v>
      </c>
      <c r="N213" s="338">
        <v>123</v>
      </c>
      <c r="O213" s="336">
        <v>10</v>
      </c>
      <c r="P213" s="351">
        <f t="shared" si="41"/>
        <v>1606</v>
      </c>
    </row>
    <row r="214" spans="2:17" x14ac:dyDescent="0.4">
      <c r="C214" s="341" t="s">
        <v>19</v>
      </c>
      <c r="D214" s="341"/>
      <c r="E214" s="341"/>
      <c r="F214" s="360">
        <v>3</v>
      </c>
      <c r="G214" s="335">
        <v>0</v>
      </c>
      <c r="H214" s="361">
        <v>51</v>
      </c>
      <c r="I214" s="362">
        <v>54</v>
      </c>
      <c r="J214" s="362">
        <v>81</v>
      </c>
      <c r="K214" s="362">
        <v>87</v>
      </c>
      <c r="L214" s="362">
        <v>110</v>
      </c>
      <c r="M214" s="362">
        <v>155</v>
      </c>
      <c r="N214" s="363">
        <v>43</v>
      </c>
      <c r="O214" s="336">
        <v>2</v>
      </c>
      <c r="P214" s="351">
        <f t="shared" si="41"/>
        <v>583</v>
      </c>
    </row>
    <row r="215" spans="2:17" x14ac:dyDescent="0.4">
      <c r="C215" s="341"/>
      <c r="D215" s="341"/>
      <c r="E215" s="341"/>
      <c r="F215" s="364" t="s">
        <v>18</v>
      </c>
      <c r="G215" s="335">
        <v>0</v>
      </c>
      <c r="H215" s="361">
        <v>9</v>
      </c>
      <c r="I215" s="362">
        <v>15</v>
      </c>
      <c r="J215" s="362">
        <v>39</v>
      </c>
      <c r="K215" s="362">
        <v>45</v>
      </c>
      <c r="L215" s="362">
        <v>112</v>
      </c>
      <c r="M215" s="362">
        <v>207</v>
      </c>
      <c r="N215" s="363">
        <v>92</v>
      </c>
      <c r="O215" s="336">
        <v>16</v>
      </c>
      <c r="P215" s="351">
        <f t="shared" si="41"/>
        <v>535</v>
      </c>
    </row>
    <row r="216" spans="2:17" x14ac:dyDescent="0.4">
      <c r="C216" s="341"/>
      <c r="D216" s="341"/>
      <c r="E216" s="341"/>
      <c r="F216" s="365" t="s">
        <v>23</v>
      </c>
      <c r="G216" s="366">
        <f>SUM(G212:G215)</f>
        <v>19</v>
      </c>
      <c r="H216" s="366">
        <f>SUM(H212:H215)</f>
        <v>396</v>
      </c>
      <c r="I216" s="366">
        <f t="shared" ref="I216:O216" si="42">SUM(I212:I215)</f>
        <v>565</v>
      </c>
      <c r="J216" s="366">
        <f t="shared" si="42"/>
        <v>893</v>
      </c>
      <c r="K216" s="366">
        <f t="shared" si="42"/>
        <v>1036</v>
      </c>
      <c r="L216" s="366">
        <f t="shared" si="42"/>
        <v>1300</v>
      </c>
      <c r="M216" s="366">
        <f t="shared" si="42"/>
        <v>1804</v>
      </c>
      <c r="N216" s="366">
        <f t="shared" si="42"/>
        <v>574</v>
      </c>
      <c r="O216" s="366">
        <f t="shared" si="42"/>
        <v>53</v>
      </c>
      <c r="P216" s="351">
        <f t="shared" si="41"/>
        <v>6640</v>
      </c>
    </row>
    <row r="217" spans="2:17" x14ac:dyDescent="0.4">
      <c r="C217" s="341" t="s">
        <v>22</v>
      </c>
      <c r="D217" s="341"/>
      <c r="E217" s="341"/>
      <c r="F217" s="341"/>
      <c r="H217" s="341"/>
      <c r="I217" s="341"/>
      <c r="J217" s="341"/>
      <c r="K217" s="341"/>
      <c r="L217" s="341"/>
      <c r="M217" s="341"/>
      <c r="N217" s="341"/>
      <c r="O217" s="341"/>
      <c r="P217" s="341"/>
    </row>
    <row r="218" spans="2:17" x14ac:dyDescent="0.4">
      <c r="C218" s="341" t="s">
        <v>21</v>
      </c>
      <c r="D218" s="341"/>
      <c r="E218" s="368">
        <f>P212/$P$216</f>
        <v>0.58975903614457836</v>
      </c>
      <c r="F218" s="341"/>
      <c r="H218" s="341"/>
      <c r="I218" s="341"/>
      <c r="J218" s="341"/>
      <c r="K218" s="341"/>
      <c r="L218" s="341"/>
      <c r="M218" s="341"/>
      <c r="N218" s="341"/>
      <c r="O218" s="341"/>
      <c r="P218" s="341"/>
    </row>
    <row r="219" spans="2:17" x14ac:dyDescent="0.4">
      <c r="C219" s="341" t="s">
        <v>20</v>
      </c>
      <c r="D219" s="341"/>
      <c r="E219" s="368">
        <f>P213/$P$216</f>
        <v>0.24186746987951807</v>
      </c>
      <c r="F219" s="341"/>
      <c r="H219" s="341"/>
      <c r="I219" s="341"/>
      <c r="J219" s="341"/>
      <c r="K219" s="341"/>
      <c r="L219" s="341"/>
      <c r="M219" s="341"/>
      <c r="N219" s="341"/>
      <c r="O219" s="341"/>
      <c r="P219" s="341"/>
    </row>
    <row r="220" spans="2:17" x14ac:dyDescent="0.4">
      <c r="C220" s="341" t="s">
        <v>19</v>
      </c>
      <c r="D220" s="341"/>
      <c r="E220" s="368">
        <f>P214/$P$216</f>
        <v>8.7801204819277112E-2</v>
      </c>
      <c r="F220" s="341"/>
      <c r="H220" s="341"/>
      <c r="I220" s="341"/>
      <c r="J220" s="341"/>
      <c r="K220" s="341"/>
      <c r="L220" s="341"/>
      <c r="M220" s="341"/>
      <c r="N220" s="341"/>
      <c r="O220" s="341"/>
      <c r="P220" s="341"/>
    </row>
    <row r="221" spans="2:17" x14ac:dyDescent="0.4">
      <c r="C221" s="369" t="s">
        <v>18</v>
      </c>
      <c r="D221" s="369"/>
      <c r="E221" s="368">
        <f>P215/$P$216</f>
        <v>8.0572289156626509E-2</v>
      </c>
      <c r="F221" s="341"/>
      <c r="H221" s="341"/>
      <c r="I221" s="341"/>
      <c r="J221" s="341"/>
      <c r="K221" s="341"/>
      <c r="L221" s="341"/>
      <c r="M221" s="341"/>
      <c r="N221" s="341"/>
      <c r="O221" s="341"/>
      <c r="P221" s="341"/>
    </row>
    <row r="223" spans="2:17" x14ac:dyDescent="0.4">
      <c r="B223" s="341" t="s">
        <v>284</v>
      </c>
      <c r="C223" s="341"/>
      <c r="D223" s="341"/>
      <c r="E223" s="341"/>
      <c r="F223" s="341"/>
      <c r="H223" s="341"/>
      <c r="I223" s="341"/>
      <c r="J223" s="341"/>
      <c r="K223" s="341"/>
      <c r="L223" s="341"/>
      <c r="M223" s="341"/>
      <c r="N223" s="341"/>
      <c r="O223" s="341"/>
      <c r="P223" s="342" t="s">
        <v>32</v>
      </c>
      <c r="Q223" s="341"/>
    </row>
    <row r="224" spans="2:17" x14ac:dyDescent="0.4">
      <c r="P224" s="342"/>
    </row>
    <row r="225" spans="2:16" x14ac:dyDescent="0.4">
      <c r="B225" s="376"/>
      <c r="C225" s="341" t="s">
        <v>22</v>
      </c>
      <c r="D225" s="368"/>
      <c r="E225" s="341"/>
      <c r="F225" s="346"/>
      <c r="G225" s="347" t="s">
        <v>218</v>
      </c>
      <c r="H225" s="348" t="s">
        <v>31</v>
      </c>
      <c r="I225" s="349" t="s">
        <v>30</v>
      </c>
      <c r="J225" s="349" t="s">
        <v>29</v>
      </c>
      <c r="K225" s="349" t="s">
        <v>28</v>
      </c>
      <c r="L225" s="349" t="s">
        <v>27</v>
      </c>
      <c r="M225" s="349" t="s">
        <v>26</v>
      </c>
      <c r="N225" s="350" t="s">
        <v>25</v>
      </c>
      <c r="O225" s="348" t="s">
        <v>24</v>
      </c>
      <c r="P225" s="349" t="s">
        <v>23</v>
      </c>
    </row>
    <row r="226" spans="2:16" x14ac:dyDescent="0.4">
      <c r="C226" s="341" t="s">
        <v>75</v>
      </c>
      <c r="D226" s="368">
        <f>P226/$P$229</f>
        <v>0.48373493975903614</v>
      </c>
      <c r="E226" s="341"/>
      <c r="F226" s="347">
        <v>1</v>
      </c>
      <c r="G226" s="335">
        <v>10</v>
      </c>
      <c r="H226" s="336">
        <v>228</v>
      </c>
      <c r="I226" s="337">
        <v>267</v>
      </c>
      <c r="J226" s="337">
        <v>366</v>
      </c>
      <c r="K226" s="337">
        <v>423</v>
      </c>
      <c r="L226" s="337">
        <v>591</v>
      </c>
      <c r="M226" s="337">
        <v>952</v>
      </c>
      <c r="N226" s="338">
        <v>339</v>
      </c>
      <c r="O226" s="336">
        <v>36</v>
      </c>
      <c r="P226" s="351">
        <f>SUM(G226:O226)</f>
        <v>3212</v>
      </c>
    </row>
    <row r="227" spans="2:16" x14ac:dyDescent="0.4">
      <c r="C227" s="341" t="s">
        <v>74</v>
      </c>
      <c r="D227" s="368">
        <f>P227/$P$229</f>
        <v>0.43569277108433735</v>
      </c>
      <c r="E227" s="341"/>
      <c r="F227" s="347">
        <v>2</v>
      </c>
      <c r="G227" s="335">
        <v>9</v>
      </c>
      <c r="H227" s="336">
        <v>159</v>
      </c>
      <c r="I227" s="337">
        <v>282</v>
      </c>
      <c r="J227" s="337">
        <v>487</v>
      </c>
      <c r="K227" s="337">
        <v>563</v>
      </c>
      <c r="L227" s="337">
        <v>583</v>
      </c>
      <c r="M227" s="337">
        <v>644</v>
      </c>
      <c r="N227" s="338">
        <v>160</v>
      </c>
      <c r="O227" s="336">
        <v>6</v>
      </c>
      <c r="P227" s="351">
        <f t="shared" ref="P227:P229" si="43">SUM(G227:O227)</f>
        <v>2893</v>
      </c>
    </row>
    <row r="228" spans="2:16" x14ac:dyDescent="0.4">
      <c r="C228" s="369" t="s">
        <v>18</v>
      </c>
      <c r="D228" s="368">
        <f>P228/$P$229</f>
        <v>8.0572289156626509E-2</v>
      </c>
      <c r="E228" s="341"/>
      <c r="F228" s="364" t="s">
        <v>18</v>
      </c>
      <c r="G228" s="335">
        <v>0</v>
      </c>
      <c r="H228" s="361">
        <v>9</v>
      </c>
      <c r="I228" s="362">
        <v>16</v>
      </c>
      <c r="J228" s="362">
        <v>40</v>
      </c>
      <c r="K228" s="362">
        <v>50</v>
      </c>
      <c r="L228" s="362">
        <v>126</v>
      </c>
      <c r="M228" s="362">
        <v>208</v>
      </c>
      <c r="N228" s="363">
        <v>75</v>
      </c>
      <c r="O228" s="336">
        <v>11</v>
      </c>
      <c r="P228" s="351">
        <f t="shared" si="43"/>
        <v>535</v>
      </c>
    </row>
    <row r="229" spans="2:16" x14ac:dyDescent="0.4">
      <c r="C229" s="341"/>
      <c r="D229" s="341"/>
      <c r="E229" s="341"/>
      <c r="F229" s="365" t="s">
        <v>23</v>
      </c>
      <c r="G229" s="366">
        <f>SUM(G226:G228)</f>
        <v>19</v>
      </c>
      <c r="H229" s="366">
        <f>SUM(H226:H228)</f>
        <v>396</v>
      </c>
      <c r="I229" s="366">
        <f t="shared" ref="I229:O229" si="44">SUM(I226:I228)</f>
        <v>565</v>
      </c>
      <c r="J229" s="366">
        <f t="shared" si="44"/>
        <v>893</v>
      </c>
      <c r="K229" s="366">
        <f t="shared" si="44"/>
        <v>1036</v>
      </c>
      <c r="L229" s="366">
        <f t="shared" si="44"/>
        <v>1300</v>
      </c>
      <c r="M229" s="366">
        <f t="shared" si="44"/>
        <v>1804</v>
      </c>
      <c r="N229" s="366">
        <f t="shared" si="44"/>
        <v>574</v>
      </c>
      <c r="O229" s="366">
        <f t="shared" si="44"/>
        <v>53</v>
      </c>
      <c r="P229" s="351">
        <f t="shared" si="43"/>
        <v>6640</v>
      </c>
    </row>
    <row r="231" spans="2:16" x14ac:dyDescent="0.4">
      <c r="B231" s="341" t="s">
        <v>285</v>
      </c>
      <c r="C231" s="341"/>
      <c r="D231" s="341"/>
      <c r="E231" s="341"/>
      <c r="F231" s="341"/>
      <c r="H231" s="341"/>
      <c r="I231" s="341"/>
      <c r="J231" s="341"/>
      <c r="K231" s="341"/>
      <c r="L231" s="341"/>
      <c r="M231" s="341"/>
      <c r="N231" s="341"/>
      <c r="O231" s="341"/>
      <c r="P231" s="342" t="s">
        <v>32</v>
      </c>
    </row>
    <row r="232" spans="2:16" x14ac:dyDescent="0.4">
      <c r="B232" s="341"/>
      <c r="C232" s="341"/>
      <c r="D232" s="341"/>
      <c r="E232" s="341"/>
      <c r="F232" s="341"/>
      <c r="H232" s="341"/>
      <c r="I232" s="341"/>
      <c r="J232" s="341"/>
      <c r="K232" s="341"/>
      <c r="L232" s="341"/>
      <c r="M232" s="341"/>
      <c r="N232" s="341"/>
      <c r="O232" s="341"/>
      <c r="P232" s="342"/>
    </row>
    <row r="233" spans="2:16" x14ac:dyDescent="0.4">
      <c r="B233" s="376"/>
      <c r="C233" s="341" t="s">
        <v>22</v>
      </c>
      <c r="D233" s="368"/>
      <c r="E233" s="341"/>
      <c r="F233" s="346"/>
      <c r="G233" s="347" t="s">
        <v>218</v>
      </c>
      <c r="H233" s="348" t="s">
        <v>31</v>
      </c>
      <c r="I233" s="349" t="s">
        <v>30</v>
      </c>
      <c r="J233" s="349" t="s">
        <v>29</v>
      </c>
      <c r="K233" s="349" t="s">
        <v>28</v>
      </c>
      <c r="L233" s="349" t="s">
        <v>27</v>
      </c>
      <c r="M233" s="349" t="s">
        <v>26</v>
      </c>
      <c r="N233" s="350" t="s">
        <v>25</v>
      </c>
      <c r="O233" s="348" t="s">
        <v>24</v>
      </c>
      <c r="P233" s="349" t="s">
        <v>23</v>
      </c>
    </row>
    <row r="234" spans="2:16" x14ac:dyDescent="0.4">
      <c r="B234" s="341"/>
      <c r="C234" s="341" t="s">
        <v>75</v>
      </c>
      <c r="D234" s="368">
        <f>P234/$P$237</f>
        <v>0.1855421686746988</v>
      </c>
      <c r="E234" s="341"/>
      <c r="F234" s="347">
        <v>1</v>
      </c>
      <c r="G234" s="335">
        <v>1</v>
      </c>
      <c r="H234" s="336">
        <v>15</v>
      </c>
      <c r="I234" s="337">
        <v>19</v>
      </c>
      <c r="J234" s="337">
        <v>62</v>
      </c>
      <c r="K234" s="337">
        <v>165</v>
      </c>
      <c r="L234" s="337">
        <v>297</v>
      </c>
      <c r="M234" s="337">
        <v>469</v>
      </c>
      <c r="N234" s="338">
        <v>187</v>
      </c>
      <c r="O234" s="336">
        <v>17</v>
      </c>
      <c r="P234" s="351">
        <f>SUM(G234:O234)</f>
        <v>1232</v>
      </c>
    </row>
    <row r="235" spans="2:16" x14ac:dyDescent="0.4">
      <c r="B235" s="341"/>
      <c r="C235" s="341" t="s">
        <v>74</v>
      </c>
      <c r="D235" s="368">
        <f>P235/$P$237</f>
        <v>0.72966867469879515</v>
      </c>
      <c r="E235" s="341"/>
      <c r="F235" s="347">
        <v>2</v>
      </c>
      <c r="G235" s="335">
        <v>18</v>
      </c>
      <c r="H235" s="336">
        <v>371</v>
      </c>
      <c r="I235" s="337">
        <v>527</v>
      </c>
      <c r="J235" s="337">
        <v>786</v>
      </c>
      <c r="K235" s="337">
        <v>816</v>
      </c>
      <c r="L235" s="337">
        <v>878</v>
      </c>
      <c r="M235" s="337">
        <v>1117</v>
      </c>
      <c r="N235" s="338">
        <v>309</v>
      </c>
      <c r="O235" s="336">
        <v>23</v>
      </c>
      <c r="P235" s="351">
        <f t="shared" ref="P235:P237" si="45">SUM(G235:O235)</f>
        <v>4845</v>
      </c>
    </row>
    <row r="236" spans="2:16" x14ac:dyDescent="0.4">
      <c r="B236" s="341"/>
      <c r="C236" s="369" t="s">
        <v>18</v>
      </c>
      <c r="D236" s="368">
        <f>P236/$P$237</f>
        <v>8.4789156626506018E-2</v>
      </c>
      <c r="E236" s="341"/>
      <c r="F236" s="364" t="s">
        <v>18</v>
      </c>
      <c r="G236" s="335">
        <v>0</v>
      </c>
      <c r="H236" s="361">
        <v>10</v>
      </c>
      <c r="I236" s="362">
        <v>19</v>
      </c>
      <c r="J236" s="362">
        <v>45</v>
      </c>
      <c r="K236" s="362">
        <v>55</v>
      </c>
      <c r="L236" s="362">
        <v>125</v>
      </c>
      <c r="M236" s="362">
        <v>218</v>
      </c>
      <c r="N236" s="363">
        <v>78</v>
      </c>
      <c r="O236" s="336">
        <v>13</v>
      </c>
      <c r="P236" s="351">
        <f t="shared" si="45"/>
        <v>563</v>
      </c>
    </row>
    <row r="237" spans="2:16" x14ac:dyDescent="0.4">
      <c r="B237" s="341"/>
      <c r="C237" s="341"/>
      <c r="D237" s="341"/>
      <c r="E237" s="341"/>
      <c r="F237" s="365" t="s">
        <v>23</v>
      </c>
      <c r="G237" s="366">
        <f>SUM(G234:G236)</f>
        <v>19</v>
      </c>
      <c r="H237" s="366">
        <f>SUM(H234:H236)</f>
        <v>396</v>
      </c>
      <c r="I237" s="366">
        <f t="shared" ref="I237:O237" si="46">SUM(I234:I236)</f>
        <v>565</v>
      </c>
      <c r="J237" s="366">
        <f t="shared" si="46"/>
        <v>893</v>
      </c>
      <c r="K237" s="366">
        <f t="shared" si="46"/>
        <v>1036</v>
      </c>
      <c r="L237" s="366">
        <f t="shared" si="46"/>
        <v>1300</v>
      </c>
      <c r="M237" s="366">
        <f t="shared" si="46"/>
        <v>1804</v>
      </c>
      <c r="N237" s="366">
        <f t="shared" si="46"/>
        <v>574</v>
      </c>
      <c r="O237" s="366">
        <f t="shared" si="46"/>
        <v>53</v>
      </c>
      <c r="P237" s="351">
        <f t="shared" si="45"/>
        <v>6640</v>
      </c>
    </row>
    <row r="239" spans="2:16" x14ac:dyDescent="0.4">
      <c r="B239" s="341" t="s">
        <v>286</v>
      </c>
      <c r="C239" s="341"/>
      <c r="D239" s="341"/>
      <c r="E239" s="341"/>
      <c r="F239" s="341"/>
      <c r="H239" s="341"/>
      <c r="I239" s="341"/>
      <c r="J239" s="341"/>
      <c r="K239" s="341"/>
      <c r="L239" s="341"/>
      <c r="M239" s="341"/>
      <c r="N239" s="341"/>
      <c r="O239" s="341"/>
      <c r="P239" s="342" t="s">
        <v>32</v>
      </c>
    </row>
    <row r="240" spans="2:16" x14ac:dyDescent="0.4">
      <c r="B240" s="341"/>
      <c r="C240" s="341"/>
      <c r="D240" s="341"/>
      <c r="E240" s="341"/>
      <c r="F240" s="341"/>
      <c r="H240" s="341"/>
      <c r="I240" s="341"/>
      <c r="J240" s="341"/>
      <c r="K240" s="341"/>
      <c r="L240" s="341"/>
      <c r="M240" s="341"/>
      <c r="N240" s="341"/>
      <c r="O240" s="341"/>
      <c r="P240" s="342"/>
    </row>
    <row r="241" spans="2:16" x14ac:dyDescent="0.4">
      <c r="B241" s="376"/>
      <c r="C241" s="341" t="s">
        <v>22</v>
      </c>
      <c r="D241" s="368"/>
      <c r="E241" s="341"/>
      <c r="F241" s="346"/>
      <c r="G241" s="347" t="s">
        <v>218</v>
      </c>
      <c r="H241" s="348" t="s">
        <v>31</v>
      </c>
      <c r="I241" s="349" t="s">
        <v>30</v>
      </c>
      <c r="J241" s="349" t="s">
        <v>29</v>
      </c>
      <c r="K241" s="349" t="s">
        <v>28</v>
      </c>
      <c r="L241" s="349" t="s">
        <v>27</v>
      </c>
      <c r="M241" s="349" t="s">
        <v>26</v>
      </c>
      <c r="N241" s="350" t="s">
        <v>25</v>
      </c>
      <c r="O241" s="348" t="s">
        <v>24</v>
      </c>
      <c r="P241" s="349" t="s">
        <v>23</v>
      </c>
    </row>
    <row r="242" spans="2:16" x14ac:dyDescent="0.4">
      <c r="B242" s="341"/>
      <c r="C242" s="341" t="s">
        <v>75</v>
      </c>
      <c r="D242" s="368">
        <f>P242/$P$245</f>
        <v>0.19743975903614458</v>
      </c>
      <c r="E242" s="341"/>
      <c r="F242" s="347">
        <v>1</v>
      </c>
      <c r="G242" s="335">
        <v>3</v>
      </c>
      <c r="H242" s="336">
        <v>41</v>
      </c>
      <c r="I242" s="337">
        <v>72</v>
      </c>
      <c r="J242" s="337">
        <v>139</v>
      </c>
      <c r="K242" s="337">
        <v>194</v>
      </c>
      <c r="L242" s="337">
        <v>278</v>
      </c>
      <c r="M242" s="337">
        <v>426</v>
      </c>
      <c r="N242" s="338">
        <v>148</v>
      </c>
      <c r="O242" s="336">
        <v>10</v>
      </c>
      <c r="P242" s="351">
        <f>SUM(G242:O242)</f>
        <v>1311</v>
      </c>
    </row>
    <row r="243" spans="2:16" x14ac:dyDescent="0.4">
      <c r="B243" s="341"/>
      <c r="C243" s="341" t="s">
        <v>74</v>
      </c>
      <c r="D243" s="368">
        <f>P243/$P$245</f>
        <v>0.71987951807228912</v>
      </c>
      <c r="E243" s="341"/>
      <c r="F243" s="347">
        <v>2</v>
      </c>
      <c r="G243" s="335">
        <v>16</v>
      </c>
      <c r="H243" s="336">
        <v>346</v>
      </c>
      <c r="I243" s="337">
        <v>473</v>
      </c>
      <c r="J243" s="337">
        <v>708</v>
      </c>
      <c r="K243" s="337">
        <v>789</v>
      </c>
      <c r="L243" s="337">
        <v>899</v>
      </c>
      <c r="M243" s="337">
        <v>1167</v>
      </c>
      <c r="N243" s="338">
        <v>349</v>
      </c>
      <c r="O243" s="336">
        <v>33</v>
      </c>
      <c r="P243" s="351">
        <f t="shared" ref="P243:P245" si="47">SUM(G243:O243)</f>
        <v>4780</v>
      </c>
    </row>
    <row r="244" spans="2:16" x14ac:dyDescent="0.4">
      <c r="B244" s="341"/>
      <c r="C244" s="369" t="s">
        <v>18</v>
      </c>
      <c r="D244" s="368">
        <f>P244/$P$245</f>
        <v>8.2680722891566263E-2</v>
      </c>
      <c r="E244" s="341"/>
      <c r="F244" s="364" t="s">
        <v>18</v>
      </c>
      <c r="G244" s="335">
        <v>0</v>
      </c>
      <c r="H244" s="361">
        <v>9</v>
      </c>
      <c r="I244" s="362">
        <v>20</v>
      </c>
      <c r="J244" s="362">
        <v>46</v>
      </c>
      <c r="K244" s="362">
        <v>53</v>
      </c>
      <c r="L244" s="362">
        <v>123</v>
      </c>
      <c r="M244" s="362">
        <v>211</v>
      </c>
      <c r="N244" s="363">
        <v>77</v>
      </c>
      <c r="O244" s="336">
        <v>10</v>
      </c>
      <c r="P244" s="351">
        <f t="shared" si="47"/>
        <v>549</v>
      </c>
    </row>
    <row r="245" spans="2:16" x14ac:dyDescent="0.4">
      <c r="B245" s="341"/>
      <c r="C245" s="341"/>
      <c r="D245" s="341"/>
      <c r="E245" s="341"/>
      <c r="F245" s="365" t="s">
        <v>23</v>
      </c>
      <c r="G245" s="366">
        <f>SUM(G242:G244)</f>
        <v>19</v>
      </c>
      <c r="H245" s="366">
        <f>SUM(H242:H244)</f>
        <v>396</v>
      </c>
      <c r="I245" s="366">
        <f t="shared" ref="I245:O245" si="48">SUM(I242:I244)</f>
        <v>565</v>
      </c>
      <c r="J245" s="366">
        <f t="shared" si="48"/>
        <v>893</v>
      </c>
      <c r="K245" s="366">
        <f t="shared" si="48"/>
        <v>1036</v>
      </c>
      <c r="L245" s="366">
        <f t="shared" si="48"/>
        <v>1300</v>
      </c>
      <c r="M245" s="366">
        <f t="shared" si="48"/>
        <v>1804</v>
      </c>
      <c r="N245" s="366">
        <f t="shared" si="48"/>
        <v>574</v>
      </c>
      <c r="O245" s="366">
        <f t="shared" si="48"/>
        <v>53</v>
      </c>
      <c r="P245" s="351">
        <f t="shared" si="47"/>
        <v>6640</v>
      </c>
    </row>
    <row r="247" spans="2:16" x14ac:dyDescent="0.4">
      <c r="B247" s="341" t="s">
        <v>287</v>
      </c>
      <c r="C247" s="341"/>
      <c r="D247" s="341"/>
      <c r="E247" s="341"/>
      <c r="F247" s="341"/>
      <c r="H247" s="341"/>
      <c r="I247" s="341"/>
      <c r="J247" s="341"/>
      <c r="K247" s="341"/>
      <c r="L247" s="341"/>
      <c r="M247" s="341"/>
      <c r="N247" s="341"/>
      <c r="O247" s="341"/>
      <c r="P247" s="341" t="s">
        <v>32</v>
      </c>
    </row>
    <row r="248" spans="2:16" x14ac:dyDescent="0.4">
      <c r="B248" s="341"/>
      <c r="C248" s="341"/>
      <c r="D248" s="341"/>
      <c r="E248" s="341"/>
      <c r="F248" s="341"/>
      <c r="H248" s="341"/>
      <c r="I248" s="341"/>
      <c r="J248" s="341"/>
      <c r="K248" s="341"/>
      <c r="L248" s="341"/>
      <c r="M248" s="341"/>
      <c r="N248" s="341"/>
      <c r="O248" s="341"/>
      <c r="P248" s="341"/>
    </row>
    <row r="249" spans="2:16" x14ac:dyDescent="0.4">
      <c r="B249" s="341"/>
      <c r="C249" s="341" t="s">
        <v>22</v>
      </c>
      <c r="D249" s="368"/>
      <c r="E249" s="341"/>
      <c r="F249" s="346"/>
      <c r="G249" s="347" t="s">
        <v>218</v>
      </c>
      <c r="H249" s="348" t="s">
        <v>31</v>
      </c>
      <c r="I249" s="349" t="s">
        <v>30</v>
      </c>
      <c r="J249" s="349" t="s">
        <v>29</v>
      </c>
      <c r="K249" s="349" t="s">
        <v>28</v>
      </c>
      <c r="L249" s="349" t="s">
        <v>27</v>
      </c>
      <c r="M249" s="349" t="s">
        <v>26</v>
      </c>
      <c r="N249" s="350" t="s">
        <v>25</v>
      </c>
      <c r="O249" s="348" t="s">
        <v>24</v>
      </c>
      <c r="P249" s="349" t="s">
        <v>23</v>
      </c>
    </row>
    <row r="250" spans="2:16" x14ac:dyDescent="0.4">
      <c r="B250" s="341"/>
      <c r="C250" s="341" t="s">
        <v>75</v>
      </c>
      <c r="D250" s="368">
        <f>P250/$P$253</f>
        <v>0.20632530120481929</v>
      </c>
      <c r="E250" s="341"/>
      <c r="F250" s="347">
        <v>1</v>
      </c>
      <c r="G250" s="335">
        <v>3</v>
      </c>
      <c r="H250" s="336">
        <v>70</v>
      </c>
      <c r="I250" s="337">
        <v>128</v>
      </c>
      <c r="J250" s="337">
        <v>164</v>
      </c>
      <c r="K250" s="337">
        <v>172</v>
      </c>
      <c r="L250" s="337">
        <v>277</v>
      </c>
      <c r="M250" s="337">
        <v>372</v>
      </c>
      <c r="N250" s="338">
        <v>173</v>
      </c>
      <c r="O250" s="336">
        <v>11</v>
      </c>
      <c r="P250" s="351">
        <f>SUM(G250:O250)</f>
        <v>1370</v>
      </c>
    </row>
    <row r="251" spans="2:16" x14ac:dyDescent="0.4">
      <c r="B251" s="341"/>
      <c r="C251" s="341" t="s">
        <v>74</v>
      </c>
      <c r="D251" s="368">
        <f>P251/$P$253</f>
        <v>0.70677710843373498</v>
      </c>
      <c r="E251" s="341"/>
      <c r="F251" s="347">
        <v>2</v>
      </c>
      <c r="G251" s="335">
        <v>16</v>
      </c>
      <c r="H251" s="336">
        <v>316</v>
      </c>
      <c r="I251" s="337">
        <v>418</v>
      </c>
      <c r="J251" s="337">
        <v>682</v>
      </c>
      <c r="K251" s="337">
        <v>803</v>
      </c>
      <c r="L251" s="337">
        <v>899</v>
      </c>
      <c r="M251" s="337">
        <v>1204</v>
      </c>
      <c r="N251" s="338">
        <v>324</v>
      </c>
      <c r="O251" s="336">
        <v>31</v>
      </c>
      <c r="P251" s="351">
        <f t="shared" ref="P251:P253" si="49">SUM(G251:O251)</f>
        <v>4693</v>
      </c>
    </row>
    <row r="252" spans="2:16" x14ac:dyDescent="0.4">
      <c r="B252" s="341"/>
      <c r="C252" s="369" t="s">
        <v>18</v>
      </c>
      <c r="D252" s="368">
        <f>P252/$P$253</f>
        <v>8.6897590361445787E-2</v>
      </c>
      <c r="E252" s="341"/>
      <c r="F252" s="364" t="s">
        <v>18</v>
      </c>
      <c r="G252" s="335">
        <v>0</v>
      </c>
      <c r="H252" s="361">
        <v>10</v>
      </c>
      <c r="I252" s="362">
        <v>19</v>
      </c>
      <c r="J252" s="362">
        <v>47</v>
      </c>
      <c r="K252" s="362">
        <v>61</v>
      </c>
      <c r="L252" s="362">
        <v>124</v>
      </c>
      <c r="M252" s="362">
        <v>228</v>
      </c>
      <c r="N252" s="363">
        <v>77</v>
      </c>
      <c r="O252" s="336">
        <v>11</v>
      </c>
      <c r="P252" s="351">
        <f t="shared" si="49"/>
        <v>577</v>
      </c>
    </row>
    <row r="253" spans="2:16" x14ac:dyDescent="0.4">
      <c r="B253" s="341"/>
      <c r="C253" s="341"/>
      <c r="D253" s="341"/>
      <c r="E253" s="341"/>
      <c r="F253" s="365" t="s">
        <v>23</v>
      </c>
      <c r="G253" s="366">
        <f>SUM(G250:G252)</f>
        <v>19</v>
      </c>
      <c r="H253" s="366">
        <f>SUM(H250:H252)</f>
        <v>396</v>
      </c>
      <c r="I253" s="366">
        <f t="shared" ref="I253:O253" si="50">SUM(I250:I252)</f>
        <v>565</v>
      </c>
      <c r="J253" s="366">
        <f t="shared" si="50"/>
        <v>893</v>
      </c>
      <c r="K253" s="366">
        <f t="shared" si="50"/>
        <v>1036</v>
      </c>
      <c r="L253" s="366">
        <f t="shared" si="50"/>
        <v>1300</v>
      </c>
      <c r="M253" s="366">
        <f t="shared" si="50"/>
        <v>1804</v>
      </c>
      <c r="N253" s="366">
        <f t="shared" si="50"/>
        <v>574</v>
      </c>
      <c r="O253" s="366">
        <f t="shared" si="50"/>
        <v>53</v>
      </c>
      <c r="P253" s="351">
        <f t="shared" si="49"/>
        <v>6640</v>
      </c>
    </row>
    <row r="255" spans="2:16" x14ac:dyDescent="0.4">
      <c r="B255" s="341" t="s">
        <v>288</v>
      </c>
      <c r="C255" s="341"/>
      <c r="D255" s="341"/>
      <c r="E255" s="341"/>
      <c r="F255" s="341"/>
      <c r="H255" s="341"/>
      <c r="I255" s="341"/>
      <c r="J255" s="341"/>
      <c r="K255" s="341"/>
      <c r="L255" s="341"/>
      <c r="M255" s="341"/>
      <c r="N255" s="341"/>
      <c r="O255" s="341"/>
      <c r="P255" s="341" t="s">
        <v>32</v>
      </c>
    </row>
    <row r="256" spans="2:16" x14ac:dyDescent="0.4">
      <c r="B256" s="341"/>
      <c r="C256" s="341"/>
      <c r="D256" s="341"/>
      <c r="E256" s="341"/>
      <c r="F256" s="341"/>
      <c r="H256" s="341"/>
      <c r="I256" s="341"/>
      <c r="J256" s="341"/>
      <c r="K256" s="341"/>
      <c r="L256" s="341"/>
      <c r="M256" s="341"/>
      <c r="N256" s="341"/>
      <c r="O256" s="341"/>
      <c r="P256" s="341"/>
    </row>
    <row r="257" spans="2:16" x14ac:dyDescent="0.4">
      <c r="B257" s="341"/>
      <c r="C257" s="341" t="s">
        <v>22</v>
      </c>
      <c r="D257" s="368"/>
      <c r="E257" s="341"/>
      <c r="F257" s="346"/>
      <c r="G257" s="347" t="s">
        <v>218</v>
      </c>
      <c r="H257" s="348" t="s">
        <v>31</v>
      </c>
      <c r="I257" s="349" t="s">
        <v>30</v>
      </c>
      <c r="J257" s="349" t="s">
        <v>29</v>
      </c>
      <c r="K257" s="349" t="s">
        <v>28</v>
      </c>
      <c r="L257" s="349" t="s">
        <v>27</v>
      </c>
      <c r="M257" s="349" t="s">
        <v>26</v>
      </c>
      <c r="N257" s="350" t="s">
        <v>25</v>
      </c>
      <c r="O257" s="348" t="s">
        <v>24</v>
      </c>
      <c r="P257" s="349" t="s">
        <v>23</v>
      </c>
    </row>
    <row r="258" spans="2:16" x14ac:dyDescent="0.4">
      <c r="B258" s="341"/>
      <c r="C258" s="341" t="s">
        <v>75</v>
      </c>
      <c r="D258" s="368">
        <f>P258/$P$261</f>
        <v>0.57394578313253009</v>
      </c>
      <c r="E258" s="341"/>
      <c r="F258" s="347">
        <v>1</v>
      </c>
      <c r="G258" s="335">
        <v>18</v>
      </c>
      <c r="H258" s="336">
        <v>323</v>
      </c>
      <c r="I258" s="337">
        <v>431</v>
      </c>
      <c r="J258" s="337">
        <v>610</v>
      </c>
      <c r="K258" s="337">
        <v>625</v>
      </c>
      <c r="L258" s="337">
        <v>615</v>
      </c>
      <c r="M258" s="337">
        <v>843</v>
      </c>
      <c r="N258" s="338">
        <v>319</v>
      </c>
      <c r="O258" s="336">
        <v>27</v>
      </c>
      <c r="P258" s="351">
        <f>SUM(G258:O258)</f>
        <v>3811</v>
      </c>
    </row>
    <row r="259" spans="2:16" x14ac:dyDescent="0.4">
      <c r="B259" s="341"/>
      <c r="C259" s="341" t="s">
        <v>74</v>
      </c>
      <c r="D259" s="368">
        <f>P259/$P$261</f>
        <v>0.34216867469879519</v>
      </c>
      <c r="E259" s="341"/>
      <c r="F259" s="347">
        <v>2</v>
      </c>
      <c r="G259" s="335">
        <v>1</v>
      </c>
      <c r="H259" s="336">
        <v>63</v>
      </c>
      <c r="I259" s="337">
        <v>116</v>
      </c>
      <c r="J259" s="337">
        <v>236</v>
      </c>
      <c r="K259" s="337">
        <v>355</v>
      </c>
      <c r="L259" s="337">
        <v>563</v>
      </c>
      <c r="M259" s="337">
        <v>747</v>
      </c>
      <c r="N259" s="338">
        <v>178</v>
      </c>
      <c r="O259" s="336">
        <v>13</v>
      </c>
      <c r="P259" s="351">
        <f t="shared" ref="P259:P261" si="51">SUM(G259:O259)</f>
        <v>2272</v>
      </c>
    </row>
    <row r="260" spans="2:16" x14ac:dyDescent="0.4">
      <c r="B260" s="341"/>
      <c r="C260" s="369" t="s">
        <v>18</v>
      </c>
      <c r="D260" s="368">
        <f>P260/$P$261</f>
        <v>8.3885542168674693E-2</v>
      </c>
      <c r="E260" s="341"/>
      <c r="F260" s="364" t="s">
        <v>18</v>
      </c>
      <c r="G260" s="335">
        <v>0</v>
      </c>
      <c r="H260" s="361">
        <v>10</v>
      </c>
      <c r="I260" s="362">
        <v>18</v>
      </c>
      <c r="J260" s="362">
        <v>47</v>
      </c>
      <c r="K260" s="362">
        <v>56</v>
      </c>
      <c r="L260" s="362">
        <v>122</v>
      </c>
      <c r="M260" s="362">
        <v>214</v>
      </c>
      <c r="N260" s="363">
        <v>77</v>
      </c>
      <c r="O260" s="336">
        <v>13</v>
      </c>
      <c r="P260" s="351">
        <f>SUM(G260:O260)</f>
        <v>557</v>
      </c>
    </row>
    <row r="261" spans="2:16" x14ac:dyDescent="0.4">
      <c r="B261" s="341"/>
      <c r="C261" s="341"/>
      <c r="D261" s="341"/>
      <c r="E261" s="341"/>
      <c r="F261" s="365" t="s">
        <v>23</v>
      </c>
      <c r="G261" s="366">
        <f>SUM(G258:G260)</f>
        <v>19</v>
      </c>
      <c r="H261" s="366">
        <f>SUM(H258:H260)</f>
        <v>396</v>
      </c>
      <c r="I261" s="366">
        <f t="shared" ref="I261:O261" si="52">SUM(I258:I260)</f>
        <v>565</v>
      </c>
      <c r="J261" s="366">
        <f t="shared" si="52"/>
        <v>893</v>
      </c>
      <c r="K261" s="366">
        <f t="shared" si="52"/>
        <v>1036</v>
      </c>
      <c r="L261" s="366">
        <f t="shared" si="52"/>
        <v>1300</v>
      </c>
      <c r="M261" s="366">
        <f t="shared" si="52"/>
        <v>1804</v>
      </c>
      <c r="N261" s="366">
        <f t="shared" si="52"/>
        <v>574</v>
      </c>
      <c r="O261" s="366">
        <f t="shared" si="52"/>
        <v>53</v>
      </c>
      <c r="P261" s="351">
        <f t="shared" si="51"/>
        <v>6640</v>
      </c>
    </row>
    <row r="263" spans="2:16" x14ac:dyDescent="0.4">
      <c r="B263" s="341" t="s">
        <v>289</v>
      </c>
      <c r="P263" s="341" t="s">
        <v>32</v>
      </c>
    </row>
    <row r="265" spans="2:16" x14ac:dyDescent="0.4">
      <c r="C265" s="359" t="s">
        <v>22</v>
      </c>
      <c r="D265" s="368"/>
      <c r="E265" s="341"/>
      <c r="F265" s="346"/>
      <c r="G265" s="347" t="s">
        <v>218</v>
      </c>
      <c r="H265" s="348" t="s">
        <v>31</v>
      </c>
      <c r="I265" s="349" t="s">
        <v>30</v>
      </c>
      <c r="J265" s="349" t="s">
        <v>29</v>
      </c>
      <c r="K265" s="349" t="s">
        <v>28</v>
      </c>
      <c r="L265" s="349" t="s">
        <v>27</v>
      </c>
      <c r="M265" s="349" t="s">
        <v>26</v>
      </c>
      <c r="N265" s="350" t="s">
        <v>25</v>
      </c>
      <c r="O265" s="348" t="s">
        <v>24</v>
      </c>
      <c r="P265" s="349" t="s">
        <v>23</v>
      </c>
    </row>
    <row r="266" spans="2:16" x14ac:dyDescent="0.4">
      <c r="C266" s="341" t="s">
        <v>75</v>
      </c>
      <c r="D266" s="368">
        <f>P266/$P$269</f>
        <v>0.18539156626506023</v>
      </c>
      <c r="E266" s="341"/>
      <c r="F266" s="347">
        <v>1</v>
      </c>
      <c r="G266" s="335">
        <v>0</v>
      </c>
      <c r="H266" s="336">
        <v>56</v>
      </c>
      <c r="I266" s="337">
        <v>59</v>
      </c>
      <c r="J266" s="337">
        <v>123</v>
      </c>
      <c r="K266" s="337">
        <v>181</v>
      </c>
      <c r="L266" s="337">
        <v>231</v>
      </c>
      <c r="M266" s="337">
        <v>407</v>
      </c>
      <c r="N266" s="338">
        <v>156</v>
      </c>
      <c r="O266" s="336">
        <v>18</v>
      </c>
      <c r="P266" s="351">
        <f>SUM(G266:O266)</f>
        <v>1231</v>
      </c>
    </row>
    <row r="267" spans="2:16" x14ac:dyDescent="0.4">
      <c r="C267" s="341" t="s">
        <v>74</v>
      </c>
      <c r="D267" s="368">
        <f>P267/$P$269</f>
        <v>0.72228915662650606</v>
      </c>
      <c r="E267" s="341"/>
      <c r="F267" s="347">
        <v>2</v>
      </c>
      <c r="G267" s="335">
        <v>19</v>
      </c>
      <c r="H267" s="336">
        <v>329</v>
      </c>
      <c r="I267" s="337">
        <v>483</v>
      </c>
      <c r="J267" s="337">
        <v>724</v>
      </c>
      <c r="K267" s="337">
        <v>792</v>
      </c>
      <c r="L267" s="337">
        <v>933</v>
      </c>
      <c r="M267" s="337">
        <v>1157</v>
      </c>
      <c r="N267" s="338">
        <v>336</v>
      </c>
      <c r="O267" s="336">
        <v>23</v>
      </c>
      <c r="P267" s="351">
        <f t="shared" ref="P267:P269" si="53">SUM(G267:O267)</f>
        <v>4796</v>
      </c>
    </row>
    <row r="268" spans="2:16" x14ac:dyDescent="0.4">
      <c r="C268" s="369" t="s">
        <v>18</v>
      </c>
      <c r="D268" s="368">
        <f>P268/$P$269</f>
        <v>9.2319277108433739E-2</v>
      </c>
      <c r="E268" s="341"/>
      <c r="F268" s="364" t="s">
        <v>18</v>
      </c>
      <c r="G268" s="335">
        <v>0</v>
      </c>
      <c r="H268" s="361">
        <v>11</v>
      </c>
      <c r="I268" s="362">
        <v>23</v>
      </c>
      <c r="J268" s="362">
        <v>46</v>
      </c>
      <c r="K268" s="362">
        <v>63</v>
      </c>
      <c r="L268" s="362">
        <v>136</v>
      </c>
      <c r="M268" s="362">
        <v>240</v>
      </c>
      <c r="N268" s="363">
        <v>82</v>
      </c>
      <c r="O268" s="336">
        <v>12</v>
      </c>
      <c r="P268" s="351">
        <f t="shared" si="53"/>
        <v>613</v>
      </c>
    </row>
    <row r="269" spans="2:16" x14ac:dyDescent="0.4">
      <c r="C269" s="341"/>
      <c r="D269" s="341"/>
      <c r="E269" s="341"/>
      <c r="F269" s="365" t="s">
        <v>23</v>
      </c>
      <c r="G269" s="366">
        <f>SUM(G266:G268)</f>
        <v>19</v>
      </c>
      <c r="H269" s="366">
        <f>SUM(H266:H268)</f>
        <v>396</v>
      </c>
      <c r="I269" s="366">
        <f t="shared" ref="I269:O269" si="54">SUM(I266:I268)</f>
        <v>565</v>
      </c>
      <c r="J269" s="366">
        <f t="shared" si="54"/>
        <v>893</v>
      </c>
      <c r="K269" s="366">
        <f t="shared" si="54"/>
        <v>1036</v>
      </c>
      <c r="L269" s="366">
        <f t="shared" si="54"/>
        <v>1300</v>
      </c>
      <c r="M269" s="366">
        <f t="shared" si="54"/>
        <v>1804</v>
      </c>
      <c r="N269" s="366">
        <f t="shared" si="54"/>
        <v>574</v>
      </c>
      <c r="O269" s="366">
        <f t="shared" si="54"/>
        <v>53</v>
      </c>
      <c r="P269" s="351">
        <f t="shared" si="53"/>
        <v>6640</v>
      </c>
    </row>
  </sheetData>
  <protectedRanges>
    <protectedRange sqref="I160:I164 L160:L164 I123:I124 I126:I127" name="範囲2"/>
    <protectedRange sqref="C15:C17 H22:O26 H36:O38 H95:O97 H106:O108 H118:O119 H130:O133 H151:O152 H154:O155 H170:O173 H184:O187 H198:O201 H212:O215 B1:L1 B4:I6 H258:O260 H226:O228 H234:O236 H242:O244 H250:O252 H12:O13 H48:O50 H59:O61 H70:O72 H81:O86 H266:O268" name="範囲1"/>
  </protectedRanges>
  <phoneticPr fontId="9"/>
  <pageMargins left="0.11811023622047245" right="0.11811023622047245" top="0.59055118110236227" bottom="0.55118110236220474" header="0.31496062992125984" footer="0.31496062992125984"/>
  <pageSetup paperSize="9" scale="39" orientation="portrait" r:id="rId1"/>
  <rowBreaks count="2" manualBreakCount="2">
    <brk id="91" max="16383" man="1"/>
    <brk id="166"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841B6-89CB-49D3-91BE-0B5140E14499}">
  <sheetPr>
    <pageSetUpPr fitToPage="1"/>
  </sheetPr>
  <dimension ref="A1:Q269"/>
  <sheetViews>
    <sheetView tabSelected="1" view="pageBreakPreview" zoomScaleNormal="100" zoomScaleSheetLayoutView="100" workbookViewId="0">
      <selection activeCell="L8" sqref="L8"/>
    </sheetView>
  </sheetViews>
  <sheetFormatPr defaultRowHeight="18.75" x14ac:dyDescent="0.4"/>
  <cols>
    <col min="1" max="2" width="9" style="341"/>
    <col min="3" max="3" width="12.75" style="341" customWidth="1"/>
    <col min="4" max="5" width="9" style="341"/>
    <col min="6" max="6" width="9.875" style="341" customWidth="1"/>
    <col min="7" max="7" width="9" style="339" customWidth="1"/>
    <col min="8" max="16384" width="9" style="341"/>
  </cols>
  <sheetData>
    <row r="1" spans="1:16" ht="26.25" customHeight="1" x14ac:dyDescent="0.4">
      <c r="B1" s="419" t="s">
        <v>312</v>
      </c>
      <c r="C1" s="334"/>
      <c r="D1" s="334"/>
      <c r="E1" s="334"/>
      <c r="F1" s="334"/>
      <c r="G1" s="407"/>
      <c r="H1" s="334"/>
      <c r="I1" s="334"/>
      <c r="J1" s="334"/>
      <c r="K1" s="334"/>
      <c r="L1" s="334"/>
    </row>
    <row r="2" spans="1:16" ht="15" customHeight="1" x14ac:dyDescent="0.4">
      <c r="B2" s="408"/>
    </row>
    <row r="3" spans="1:16" ht="18" customHeight="1" x14ac:dyDescent="0.4">
      <c r="B3" s="333" t="s">
        <v>111</v>
      </c>
    </row>
    <row r="4" spans="1:16" ht="15" customHeight="1" x14ac:dyDescent="0.4">
      <c r="B4" s="334" t="s">
        <v>314</v>
      </c>
      <c r="C4" s="334"/>
      <c r="D4" s="334"/>
      <c r="E4" s="334"/>
      <c r="F4" s="334"/>
      <c r="G4" s="407"/>
      <c r="H4" s="334"/>
      <c r="I4" s="334"/>
    </row>
    <row r="5" spans="1:16" ht="15" customHeight="1" x14ac:dyDescent="0.4">
      <c r="B5" s="334" t="s">
        <v>316</v>
      </c>
      <c r="C5" s="334"/>
      <c r="D5" s="334"/>
      <c r="E5" s="334"/>
      <c r="F5" s="334"/>
      <c r="G5" s="407"/>
      <c r="H5" s="334"/>
      <c r="I5" s="334"/>
    </row>
    <row r="6" spans="1:16" ht="15" customHeight="1" x14ac:dyDescent="0.4">
      <c r="A6" s="341" t="s">
        <v>108</v>
      </c>
      <c r="B6" s="334" t="s">
        <v>313</v>
      </c>
      <c r="C6" s="334"/>
      <c r="D6" s="334"/>
      <c r="E6" s="334"/>
      <c r="F6" s="334"/>
      <c r="G6" s="407"/>
      <c r="H6" s="334"/>
      <c r="I6" s="334"/>
    </row>
    <row r="7" spans="1:16" ht="13.5" customHeight="1" x14ac:dyDescent="0.4"/>
    <row r="8" spans="1:16" ht="18" customHeight="1" x14ac:dyDescent="0.4">
      <c r="B8" s="333" t="s">
        <v>106</v>
      </c>
    </row>
    <row r="9" spans="1:16" x14ac:dyDescent="0.4">
      <c r="B9" s="341" t="s">
        <v>105</v>
      </c>
      <c r="P9" s="342" t="s">
        <v>32</v>
      </c>
    </row>
    <row r="10" spans="1:16" ht="9" customHeight="1" x14ac:dyDescent="0.4">
      <c r="F10" s="343"/>
      <c r="G10" s="344"/>
      <c r="P10" s="342"/>
    </row>
    <row r="11" spans="1:16" x14ac:dyDescent="0.4">
      <c r="B11" s="339" t="s">
        <v>104</v>
      </c>
      <c r="C11" s="340">
        <f>P12</f>
        <v>2896</v>
      </c>
      <c r="D11" s="370">
        <f>P12/$P$14</f>
        <v>0.43133750372356272</v>
      </c>
      <c r="E11" s="345"/>
      <c r="F11" s="346"/>
      <c r="G11" s="347" t="s">
        <v>218</v>
      </c>
      <c r="H11" s="348" t="s">
        <v>31</v>
      </c>
      <c r="I11" s="349" t="s">
        <v>30</v>
      </c>
      <c r="J11" s="349" t="s">
        <v>29</v>
      </c>
      <c r="K11" s="349" t="s">
        <v>28</v>
      </c>
      <c r="L11" s="349" t="s">
        <v>27</v>
      </c>
      <c r="M11" s="349" t="s">
        <v>26</v>
      </c>
      <c r="N11" s="350" t="s">
        <v>25</v>
      </c>
      <c r="O11" s="348" t="s">
        <v>24</v>
      </c>
      <c r="P11" s="349" t="s">
        <v>23</v>
      </c>
    </row>
    <row r="12" spans="1:16" x14ac:dyDescent="0.4">
      <c r="B12" s="339" t="s">
        <v>102</v>
      </c>
      <c r="C12" s="340">
        <f>P13</f>
        <v>3818</v>
      </c>
      <c r="D12" s="370">
        <f>P13/$P$14</f>
        <v>0.56866249627643728</v>
      </c>
      <c r="E12" s="345"/>
      <c r="F12" s="347" t="s">
        <v>100</v>
      </c>
      <c r="G12" s="335">
        <v>9</v>
      </c>
      <c r="H12" s="336">
        <v>234</v>
      </c>
      <c r="I12" s="337">
        <v>338</v>
      </c>
      <c r="J12" s="337">
        <v>436</v>
      </c>
      <c r="K12" s="337">
        <v>545</v>
      </c>
      <c r="L12" s="337">
        <v>470</v>
      </c>
      <c r="M12" s="337">
        <v>646</v>
      </c>
      <c r="N12" s="338">
        <v>203</v>
      </c>
      <c r="O12" s="336">
        <v>15</v>
      </c>
      <c r="P12" s="351">
        <f>SUM(G12:O12)</f>
        <v>2896</v>
      </c>
    </row>
    <row r="13" spans="1:16" x14ac:dyDescent="0.4">
      <c r="B13" s="339" t="s">
        <v>99</v>
      </c>
      <c r="C13" s="340">
        <f>SUM(C11:C12)</f>
        <v>6714</v>
      </c>
      <c r="E13" s="352"/>
      <c r="F13" s="347" t="s">
        <v>97</v>
      </c>
      <c r="G13" s="335">
        <v>10</v>
      </c>
      <c r="H13" s="336">
        <v>194</v>
      </c>
      <c r="I13" s="337">
        <v>300</v>
      </c>
      <c r="J13" s="337">
        <v>522</v>
      </c>
      <c r="K13" s="337">
        <v>582</v>
      </c>
      <c r="L13" s="337">
        <v>801</v>
      </c>
      <c r="M13" s="337">
        <v>1062</v>
      </c>
      <c r="N13" s="338">
        <v>319</v>
      </c>
      <c r="O13" s="336">
        <v>28</v>
      </c>
      <c r="P13" s="351">
        <f>SUM(G13:O13)</f>
        <v>3818</v>
      </c>
    </row>
    <row r="14" spans="1:16" x14ac:dyDescent="0.4">
      <c r="E14" s="353"/>
      <c r="F14" s="348" t="s">
        <v>23</v>
      </c>
      <c r="G14" s="354">
        <f t="shared" ref="G14:O14" si="0">SUM(G12:G13)</f>
        <v>19</v>
      </c>
      <c r="H14" s="354">
        <f t="shared" si="0"/>
        <v>428</v>
      </c>
      <c r="I14" s="354">
        <f t="shared" si="0"/>
        <v>638</v>
      </c>
      <c r="J14" s="354">
        <f t="shared" si="0"/>
        <v>958</v>
      </c>
      <c r="K14" s="354">
        <f t="shared" si="0"/>
        <v>1127</v>
      </c>
      <c r="L14" s="354">
        <f t="shared" si="0"/>
        <v>1271</v>
      </c>
      <c r="M14" s="354">
        <f t="shared" si="0"/>
        <v>1708</v>
      </c>
      <c r="N14" s="354">
        <f t="shared" si="0"/>
        <v>522</v>
      </c>
      <c r="O14" s="354">
        <f t="shared" si="0"/>
        <v>43</v>
      </c>
      <c r="P14" s="351">
        <f>SUM(G14:O14)</f>
        <v>6714</v>
      </c>
    </row>
    <row r="15" spans="1:16" x14ac:dyDescent="0.4">
      <c r="B15" s="339" t="s">
        <v>96</v>
      </c>
      <c r="C15" s="334">
        <v>18</v>
      </c>
      <c r="F15" s="355" t="s">
        <v>94</v>
      </c>
      <c r="G15" s="356">
        <f>G14/$P$14</f>
        <v>2.8299076556449212E-3</v>
      </c>
      <c r="H15" s="356">
        <f>H14/$P$14</f>
        <v>6.3747393506106642E-2</v>
      </c>
      <c r="I15" s="356">
        <f t="shared" ref="I15:O15" si="1">I14/$P$14</f>
        <v>9.5025320226392609E-2</v>
      </c>
      <c r="J15" s="356">
        <f t="shared" si="1"/>
        <v>0.14268692284778076</v>
      </c>
      <c r="K15" s="356">
        <f t="shared" si="1"/>
        <v>0.16785820673220136</v>
      </c>
      <c r="L15" s="356">
        <f>L14/$P$14</f>
        <v>0.18930592791182604</v>
      </c>
      <c r="M15" s="356">
        <f t="shared" si="1"/>
        <v>0.25439380399165923</v>
      </c>
      <c r="N15" s="356">
        <f t="shared" si="1"/>
        <v>7.7747989276139406E-2</v>
      </c>
      <c r="O15" s="356">
        <f t="shared" si="1"/>
        <v>6.4045278522490319E-3</v>
      </c>
      <c r="P15" s="357"/>
    </row>
    <row r="16" spans="1:16" x14ac:dyDescent="0.4">
      <c r="B16" s="339" t="s">
        <v>93</v>
      </c>
      <c r="C16" s="334">
        <v>96</v>
      </c>
      <c r="H16" s="409"/>
      <c r="I16" s="410"/>
      <c r="J16" s="410"/>
      <c r="K16" s="410"/>
      <c r="L16" s="410"/>
      <c r="M16" s="410"/>
      <c r="N16" s="410"/>
      <c r="O16" s="411"/>
    </row>
    <row r="17" spans="2:16" x14ac:dyDescent="0.4">
      <c r="B17" s="358" t="s">
        <v>91</v>
      </c>
      <c r="C17" s="334">
        <v>58.7</v>
      </c>
      <c r="O17" s="353"/>
    </row>
    <row r="18" spans="2:16" x14ac:dyDescent="0.4">
      <c r="N18" s="353"/>
    </row>
    <row r="19" spans="2:16" x14ac:dyDescent="0.4">
      <c r="B19" s="341" t="s">
        <v>89</v>
      </c>
      <c r="P19" s="342" t="s">
        <v>32</v>
      </c>
    </row>
    <row r="20" spans="2:16" x14ac:dyDescent="0.4">
      <c r="P20" s="342"/>
    </row>
    <row r="21" spans="2:16" ht="21.75" customHeight="1" x14ac:dyDescent="0.4">
      <c r="F21" s="346"/>
      <c r="G21" s="347" t="s">
        <v>218</v>
      </c>
      <c r="H21" s="348" t="s">
        <v>31</v>
      </c>
      <c r="I21" s="349" t="s">
        <v>30</v>
      </c>
      <c r="J21" s="349" t="s">
        <v>29</v>
      </c>
      <c r="K21" s="349" t="s">
        <v>28</v>
      </c>
      <c r="L21" s="349" t="s">
        <v>27</v>
      </c>
      <c r="M21" s="349" t="s">
        <v>26</v>
      </c>
      <c r="N21" s="350" t="s">
        <v>25</v>
      </c>
      <c r="O21" s="348" t="s">
        <v>24</v>
      </c>
      <c r="P21" s="349" t="s">
        <v>23</v>
      </c>
    </row>
    <row r="22" spans="2:16" x14ac:dyDescent="0.4">
      <c r="C22" s="341" t="s">
        <v>88</v>
      </c>
      <c r="F22" s="347">
        <v>1</v>
      </c>
      <c r="G22" s="335">
        <v>4</v>
      </c>
      <c r="H22" s="336">
        <v>76</v>
      </c>
      <c r="I22" s="337">
        <v>121</v>
      </c>
      <c r="J22" s="337">
        <v>213</v>
      </c>
      <c r="K22" s="337">
        <v>341</v>
      </c>
      <c r="L22" s="337">
        <v>436</v>
      </c>
      <c r="M22" s="337">
        <v>642</v>
      </c>
      <c r="N22" s="338">
        <v>214</v>
      </c>
      <c r="O22" s="336">
        <v>12</v>
      </c>
      <c r="P22" s="351">
        <f>SUM(G22:O22)</f>
        <v>2059</v>
      </c>
    </row>
    <row r="23" spans="2:16" x14ac:dyDescent="0.4">
      <c r="C23" s="341" t="s">
        <v>87</v>
      </c>
      <c r="F23" s="347">
        <v>2</v>
      </c>
      <c r="G23" s="335">
        <v>1</v>
      </c>
      <c r="H23" s="336">
        <v>73</v>
      </c>
      <c r="I23" s="337">
        <v>157</v>
      </c>
      <c r="J23" s="337">
        <v>247</v>
      </c>
      <c r="K23" s="337">
        <v>222</v>
      </c>
      <c r="L23" s="337">
        <v>225</v>
      </c>
      <c r="M23" s="337">
        <v>227</v>
      </c>
      <c r="N23" s="338">
        <v>59</v>
      </c>
      <c r="O23" s="336">
        <v>3</v>
      </c>
      <c r="P23" s="351">
        <f t="shared" ref="P23:P27" si="2">SUM(G23:O23)</f>
        <v>1214</v>
      </c>
    </row>
    <row r="24" spans="2:16" x14ac:dyDescent="0.4">
      <c r="C24" s="341" t="s">
        <v>86</v>
      </c>
      <c r="F24" s="347">
        <v>3</v>
      </c>
      <c r="G24" s="335">
        <v>5</v>
      </c>
      <c r="H24" s="336">
        <v>104</v>
      </c>
      <c r="I24" s="337">
        <v>150</v>
      </c>
      <c r="J24" s="337">
        <v>235</v>
      </c>
      <c r="K24" s="337">
        <v>195</v>
      </c>
      <c r="L24" s="337">
        <v>208</v>
      </c>
      <c r="M24" s="337">
        <v>221</v>
      </c>
      <c r="N24" s="338">
        <v>49</v>
      </c>
      <c r="O24" s="336">
        <v>4</v>
      </c>
      <c r="P24" s="351">
        <f t="shared" si="2"/>
        <v>1171</v>
      </c>
    </row>
    <row r="25" spans="2:16" x14ac:dyDescent="0.4">
      <c r="C25" s="341" t="s">
        <v>85</v>
      </c>
      <c r="F25" s="360">
        <v>4</v>
      </c>
      <c r="G25" s="335">
        <v>9</v>
      </c>
      <c r="H25" s="361">
        <v>174</v>
      </c>
      <c r="I25" s="362">
        <v>208</v>
      </c>
      <c r="J25" s="362">
        <v>261</v>
      </c>
      <c r="K25" s="362">
        <v>364</v>
      </c>
      <c r="L25" s="362">
        <v>399</v>
      </c>
      <c r="M25" s="362">
        <v>588</v>
      </c>
      <c r="N25" s="363">
        <v>181</v>
      </c>
      <c r="O25" s="336">
        <v>23</v>
      </c>
      <c r="P25" s="351">
        <f t="shared" si="2"/>
        <v>2207</v>
      </c>
    </row>
    <row r="26" spans="2:16" x14ac:dyDescent="0.4">
      <c r="F26" s="364" t="s">
        <v>18</v>
      </c>
      <c r="G26" s="335">
        <v>0</v>
      </c>
      <c r="H26" s="361">
        <v>1</v>
      </c>
      <c r="I26" s="362">
        <v>2</v>
      </c>
      <c r="J26" s="362">
        <v>2</v>
      </c>
      <c r="K26" s="362">
        <v>5</v>
      </c>
      <c r="L26" s="362">
        <v>3</v>
      </c>
      <c r="M26" s="362">
        <v>30</v>
      </c>
      <c r="N26" s="363">
        <v>19</v>
      </c>
      <c r="O26" s="336">
        <v>1</v>
      </c>
      <c r="P26" s="351">
        <f t="shared" si="2"/>
        <v>63</v>
      </c>
    </row>
    <row r="27" spans="2:16" x14ac:dyDescent="0.4">
      <c r="B27" s="341" t="s">
        <v>54</v>
      </c>
      <c r="F27" s="365" t="s">
        <v>23</v>
      </c>
      <c r="G27" s="366">
        <f>SUM(G22:G26)</f>
        <v>19</v>
      </c>
      <c r="H27" s="366">
        <f>SUM(H22:H26)</f>
        <v>428</v>
      </c>
      <c r="I27" s="366">
        <f t="shared" ref="I27:O27" si="3">SUM(I22:I26)</f>
        <v>638</v>
      </c>
      <c r="J27" s="366">
        <f t="shared" si="3"/>
        <v>958</v>
      </c>
      <c r="K27" s="366">
        <f t="shared" si="3"/>
        <v>1127</v>
      </c>
      <c r="L27" s="366">
        <f t="shared" si="3"/>
        <v>1271</v>
      </c>
      <c r="M27" s="366">
        <f t="shared" si="3"/>
        <v>1708</v>
      </c>
      <c r="N27" s="366">
        <f t="shared" si="3"/>
        <v>522</v>
      </c>
      <c r="O27" s="366">
        <f t="shared" si="3"/>
        <v>43</v>
      </c>
      <c r="P27" s="351">
        <f t="shared" si="2"/>
        <v>6714</v>
      </c>
    </row>
    <row r="28" spans="2:16" x14ac:dyDescent="0.4">
      <c r="B28" s="341" t="s">
        <v>256</v>
      </c>
    </row>
    <row r="29" spans="2:16" x14ac:dyDescent="0.4">
      <c r="D29" s="341" t="s">
        <v>258</v>
      </c>
      <c r="G29" s="339" t="s">
        <v>218</v>
      </c>
      <c r="H29" s="339" t="s">
        <v>31</v>
      </c>
      <c r="I29" s="339" t="s">
        <v>30</v>
      </c>
      <c r="J29" s="339" t="s">
        <v>29</v>
      </c>
      <c r="K29" s="339" t="s">
        <v>28</v>
      </c>
      <c r="L29" s="339" t="s">
        <v>27</v>
      </c>
      <c r="M29" s="339" t="s">
        <v>26</v>
      </c>
      <c r="N29" s="339" t="s">
        <v>25</v>
      </c>
      <c r="O29" s="339" t="s">
        <v>63</v>
      </c>
    </row>
    <row r="30" spans="2:16" x14ac:dyDescent="0.4">
      <c r="B30" s="341" t="s">
        <v>257</v>
      </c>
      <c r="G30" s="367">
        <f>SUM(G22:G24)/G27</f>
        <v>0.52631578947368418</v>
      </c>
      <c r="H30" s="367">
        <f>SUM(H22:H24)/H27</f>
        <v>0.59112149532710279</v>
      </c>
      <c r="I30" s="367">
        <f t="shared" ref="I30:O30" si="4">SUM(I22:I24)/I27</f>
        <v>0.67084639498432597</v>
      </c>
      <c r="J30" s="367">
        <f>SUM(J22:J24)/J27</f>
        <v>0.72546972860125258</v>
      </c>
      <c r="K30" s="367">
        <f t="shared" si="4"/>
        <v>0.67258207630878442</v>
      </c>
      <c r="L30" s="367">
        <f t="shared" si="4"/>
        <v>0.68371361132966169</v>
      </c>
      <c r="M30" s="367">
        <f t="shared" si="4"/>
        <v>0.63817330210772838</v>
      </c>
      <c r="N30" s="367">
        <f t="shared" si="4"/>
        <v>0.61685823754789271</v>
      </c>
      <c r="O30" s="367">
        <f t="shared" si="4"/>
        <v>0.44186046511627908</v>
      </c>
    </row>
    <row r="31" spans="2:16" x14ac:dyDescent="0.4">
      <c r="D31" s="341" t="s">
        <v>259</v>
      </c>
    </row>
    <row r="33" spans="2:16" x14ac:dyDescent="0.4">
      <c r="B33" s="341" t="s">
        <v>80</v>
      </c>
      <c r="P33" s="342" t="s">
        <v>32</v>
      </c>
    </row>
    <row r="34" spans="2:16" ht="18.75" customHeight="1" x14ac:dyDescent="0.4">
      <c r="P34" s="342"/>
    </row>
    <row r="35" spans="2:16" ht="18.75" customHeight="1" x14ac:dyDescent="0.4">
      <c r="C35" s="341" t="s">
        <v>22</v>
      </c>
      <c r="D35" s="368"/>
      <c r="F35" s="346"/>
      <c r="G35" s="347" t="s">
        <v>218</v>
      </c>
      <c r="H35" s="348" t="s">
        <v>31</v>
      </c>
      <c r="I35" s="349" t="s">
        <v>30</v>
      </c>
      <c r="J35" s="349" t="s">
        <v>29</v>
      </c>
      <c r="K35" s="349" t="s">
        <v>28</v>
      </c>
      <c r="L35" s="349" t="s">
        <v>27</v>
      </c>
      <c r="M35" s="349" t="s">
        <v>26</v>
      </c>
      <c r="N35" s="350" t="s">
        <v>25</v>
      </c>
      <c r="O35" s="348" t="s">
        <v>24</v>
      </c>
      <c r="P35" s="349" t="s">
        <v>23</v>
      </c>
    </row>
    <row r="36" spans="2:16" x14ac:dyDescent="0.4">
      <c r="C36" s="341" t="s">
        <v>75</v>
      </c>
      <c r="D36" s="368">
        <f>P36/$P$39</f>
        <v>0.40214477211796246</v>
      </c>
      <c r="F36" s="347">
        <v>1</v>
      </c>
      <c r="G36" s="335">
        <v>6</v>
      </c>
      <c r="H36" s="336">
        <v>143</v>
      </c>
      <c r="I36" s="337">
        <v>243</v>
      </c>
      <c r="J36" s="337">
        <v>416</v>
      </c>
      <c r="K36" s="337">
        <v>433</v>
      </c>
      <c r="L36" s="337">
        <v>523</v>
      </c>
      <c r="M36" s="337">
        <v>712</v>
      </c>
      <c r="N36" s="338">
        <v>210</v>
      </c>
      <c r="O36" s="336">
        <v>14</v>
      </c>
      <c r="P36" s="351">
        <f>SUM(G36:O36)</f>
        <v>2700</v>
      </c>
    </row>
    <row r="37" spans="2:16" x14ac:dyDescent="0.4">
      <c r="C37" s="341" t="s">
        <v>74</v>
      </c>
      <c r="D37" s="368">
        <f>P37/$P$39</f>
        <v>0.58906761989871914</v>
      </c>
      <c r="F37" s="347">
        <v>2</v>
      </c>
      <c r="G37" s="335">
        <v>13</v>
      </c>
      <c r="H37" s="336">
        <v>283</v>
      </c>
      <c r="I37" s="337">
        <v>393</v>
      </c>
      <c r="J37" s="337">
        <v>537</v>
      </c>
      <c r="K37" s="337">
        <v>689</v>
      </c>
      <c r="L37" s="337">
        <v>738</v>
      </c>
      <c r="M37" s="337">
        <v>975</v>
      </c>
      <c r="N37" s="338">
        <v>299</v>
      </c>
      <c r="O37" s="336">
        <v>28</v>
      </c>
      <c r="P37" s="351">
        <f t="shared" ref="P37:P39" si="5">SUM(G37:O37)</f>
        <v>3955</v>
      </c>
    </row>
    <row r="38" spans="2:16" x14ac:dyDescent="0.4">
      <c r="C38" s="369" t="s">
        <v>18</v>
      </c>
      <c r="D38" s="368">
        <f t="shared" ref="D38" si="6">P38/$P$39</f>
        <v>8.7876079833184399E-3</v>
      </c>
      <c r="F38" s="364" t="s">
        <v>18</v>
      </c>
      <c r="G38" s="335">
        <v>0</v>
      </c>
      <c r="H38" s="361">
        <v>2</v>
      </c>
      <c r="I38" s="362">
        <v>2</v>
      </c>
      <c r="J38" s="362">
        <v>5</v>
      </c>
      <c r="K38" s="362">
        <v>5</v>
      </c>
      <c r="L38" s="362">
        <v>10</v>
      </c>
      <c r="M38" s="362">
        <v>21</v>
      </c>
      <c r="N38" s="363">
        <v>13</v>
      </c>
      <c r="O38" s="336">
        <v>1</v>
      </c>
      <c r="P38" s="351">
        <f t="shared" si="5"/>
        <v>59</v>
      </c>
    </row>
    <row r="39" spans="2:16" x14ac:dyDescent="0.4">
      <c r="F39" s="365" t="s">
        <v>23</v>
      </c>
      <c r="G39" s="366">
        <f>SUM(G36:G38)</f>
        <v>19</v>
      </c>
      <c r="H39" s="366">
        <f>SUM(H36:H38)</f>
        <v>428</v>
      </c>
      <c r="I39" s="366">
        <f t="shared" ref="I39:O39" si="7">SUM(I36:I38)</f>
        <v>638</v>
      </c>
      <c r="J39" s="366">
        <f t="shared" si="7"/>
        <v>958</v>
      </c>
      <c r="K39" s="366">
        <f t="shared" si="7"/>
        <v>1127</v>
      </c>
      <c r="L39" s="366">
        <f t="shared" si="7"/>
        <v>1271</v>
      </c>
      <c r="M39" s="366">
        <f t="shared" si="7"/>
        <v>1708</v>
      </c>
      <c r="N39" s="366">
        <f t="shared" si="7"/>
        <v>522</v>
      </c>
      <c r="O39" s="366">
        <f t="shared" si="7"/>
        <v>43</v>
      </c>
      <c r="P39" s="351">
        <f t="shared" si="5"/>
        <v>6714</v>
      </c>
    </row>
    <row r="41" spans="2:16" x14ac:dyDescent="0.4">
      <c r="B41" s="341" t="s">
        <v>54</v>
      </c>
      <c r="G41" s="339" t="s">
        <v>218</v>
      </c>
      <c r="H41" s="339" t="s">
        <v>31</v>
      </c>
      <c r="I41" s="339" t="s">
        <v>30</v>
      </c>
      <c r="J41" s="339" t="s">
        <v>29</v>
      </c>
      <c r="K41" s="339" t="s">
        <v>28</v>
      </c>
      <c r="L41" s="339" t="s">
        <v>27</v>
      </c>
      <c r="M41" s="339" t="s">
        <v>26</v>
      </c>
      <c r="N41" s="339" t="s">
        <v>25</v>
      </c>
      <c r="O41" s="339" t="s">
        <v>63</v>
      </c>
    </row>
    <row r="42" spans="2:16" x14ac:dyDescent="0.4">
      <c r="B42" s="341" t="s">
        <v>260</v>
      </c>
      <c r="G42" s="367">
        <f>G36/G39</f>
        <v>0.31578947368421051</v>
      </c>
      <c r="H42" s="367">
        <f>H36/H39</f>
        <v>0.33411214953271029</v>
      </c>
      <c r="I42" s="367">
        <f t="shared" ref="I42:O42" si="8">I36/I39</f>
        <v>0.38087774294670845</v>
      </c>
      <c r="J42" s="367">
        <f t="shared" si="8"/>
        <v>0.43423799582463468</v>
      </c>
      <c r="K42" s="367">
        <f t="shared" si="8"/>
        <v>0.38420585625554571</v>
      </c>
      <c r="L42" s="367">
        <f t="shared" si="8"/>
        <v>0.41148701809598742</v>
      </c>
      <c r="M42" s="367">
        <f t="shared" si="8"/>
        <v>0.41686182669789229</v>
      </c>
      <c r="N42" s="367">
        <f t="shared" si="8"/>
        <v>0.40229885057471265</v>
      </c>
      <c r="O42" s="367">
        <f t="shared" si="8"/>
        <v>0.32558139534883723</v>
      </c>
    </row>
    <row r="43" spans="2:16" x14ac:dyDescent="0.4">
      <c r="D43" s="341" t="s">
        <v>261</v>
      </c>
    </row>
    <row r="45" spans="2:16" x14ac:dyDescent="0.4">
      <c r="B45" s="341" t="s">
        <v>262</v>
      </c>
      <c r="P45" s="342" t="s">
        <v>32</v>
      </c>
    </row>
    <row r="47" spans="2:16" x14ac:dyDescent="0.4">
      <c r="C47" s="341" t="s">
        <v>22</v>
      </c>
      <c r="D47" s="368"/>
      <c r="F47" s="346"/>
      <c r="G47" s="347" t="s">
        <v>218</v>
      </c>
      <c r="H47" s="348" t="s">
        <v>31</v>
      </c>
      <c r="I47" s="349" t="s">
        <v>30</v>
      </c>
      <c r="J47" s="349" t="s">
        <v>29</v>
      </c>
      <c r="K47" s="349" t="s">
        <v>28</v>
      </c>
      <c r="L47" s="349" t="s">
        <v>27</v>
      </c>
      <c r="M47" s="349" t="s">
        <v>26</v>
      </c>
      <c r="N47" s="350" t="s">
        <v>25</v>
      </c>
      <c r="O47" s="348" t="s">
        <v>24</v>
      </c>
      <c r="P47" s="349" t="s">
        <v>23</v>
      </c>
    </row>
    <row r="48" spans="2:16" x14ac:dyDescent="0.4">
      <c r="C48" s="341" t="s">
        <v>75</v>
      </c>
      <c r="D48" s="368">
        <f>P48/$P$51</f>
        <v>0.27077747989276141</v>
      </c>
      <c r="F48" s="347">
        <v>1</v>
      </c>
      <c r="G48" s="335">
        <v>1</v>
      </c>
      <c r="H48" s="336">
        <v>52</v>
      </c>
      <c r="I48" s="337">
        <v>133</v>
      </c>
      <c r="J48" s="337">
        <v>237</v>
      </c>
      <c r="K48" s="337">
        <v>383</v>
      </c>
      <c r="L48" s="337">
        <v>438</v>
      </c>
      <c r="M48" s="337">
        <v>456</v>
      </c>
      <c r="N48" s="338">
        <v>111</v>
      </c>
      <c r="O48" s="336">
        <v>7</v>
      </c>
      <c r="P48" s="351">
        <f>SUM(G48:O48)</f>
        <v>1818</v>
      </c>
    </row>
    <row r="49" spans="2:16" x14ac:dyDescent="0.4">
      <c r="C49" s="341" t="s">
        <v>74</v>
      </c>
      <c r="D49" s="368">
        <f>P49/$P$51</f>
        <v>0.6551980935358952</v>
      </c>
      <c r="F49" s="347">
        <v>2</v>
      </c>
      <c r="G49" s="335">
        <v>18</v>
      </c>
      <c r="H49" s="336">
        <v>368</v>
      </c>
      <c r="I49" s="337">
        <v>479</v>
      </c>
      <c r="J49" s="337">
        <v>667</v>
      </c>
      <c r="K49" s="337">
        <v>678</v>
      </c>
      <c r="L49" s="337">
        <v>726</v>
      </c>
      <c r="M49" s="337">
        <v>1080</v>
      </c>
      <c r="N49" s="338">
        <v>355</v>
      </c>
      <c r="O49" s="336">
        <v>28</v>
      </c>
      <c r="P49" s="351">
        <f t="shared" ref="P49:P51" si="9">SUM(G49:O49)</f>
        <v>4399</v>
      </c>
    </row>
    <row r="50" spans="2:16" x14ac:dyDescent="0.4">
      <c r="C50" s="369" t="s">
        <v>18</v>
      </c>
      <c r="D50" s="368">
        <f>P50/$P$51</f>
        <v>7.4024426571343463E-2</v>
      </c>
      <c r="F50" s="364" t="s">
        <v>18</v>
      </c>
      <c r="G50" s="335">
        <v>0</v>
      </c>
      <c r="H50" s="361">
        <v>8</v>
      </c>
      <c r="I50" s="362">
        <v>26</v>
      </c>
      <c r="J50" s="362">
        <v>54</v>
      </c>
      <c r="K50" s="362">
        <v>66</v>
      </c>
      <c r="L50" s="362">
        <v>107</v>
      </c>
      <c r="M50" s="362">
        <v>172</v>
      </c>
      <c r="N50" s="363">
        <v>56</v>
      </c>
      <c r="O50" s="336">
        <v>8</v>
      </c>
      <c r="P50" s="351">
        <f t="shared" si="9"/>
        <v>497</v>
      </c>
    </row>
    <row r="51" spans="2:16" x14ac:dyDescent="0.4">
      <c r="F51" s="365" t="s">
        <v>23</v>
      </c>
      <c r="G51" s="366">
        <f>SUM(G48:G50)</f>
        <v>19</v>
      </c>
      <c r="H51" s="366">
        <f>SUM(H48:H50)</f>
        <v>428</v>
      </c>
      <c r="I51" s="366">
        <f t="shared" ref="I51:O51" si="10">SUM(I48:I50)</f>
        <v>638</v>
      </c>
      <c r="J51" s="366">
        <f t="shared" si="10"/>
        <v>958</v>
      </c>
      <c r="K51" s="366">
        <f t="shared" si="10"/>
        <v>1127</v>
      </c>
      <c r="L51" s="366">
        <f t="shared" si="10"/>
        <v>1271</v>
      </c>
      <c r="M51" s="366">
        <f t="shared" si="10"/>
        <v>1708</v>
      </c>
      <c r="N51" s="366">
        <f t="shared" si="10"/>
        <v>522</v>
      </c>
      <c r="O51" s="366">
        <f t="shared" si="10"/>
        <v>43</v>
      </c>
      <c r="P51" s="351">
        <f t="shared" si="9"/>
        <v>6714</v>
      </c>
    </row>
    <row r="52" spans="2:16" x14ac:dyDescent="0.4">
      <c r="F52" s="344"/>
      <c r="G52" s="412"/>
      <c r="H52" s="412"/>
      <c r="I52" s="412"/>
      <c r="J52" s="412"/>
      <c r="K52" s="412"/>
      <c r="L52" s="412"/>
      <c r="M52" s="412"/>
      <c r="N52" s="412"/>
      <c r="O52" s="412"/>
      <c r="P52" s="412"/>
    </row>
    <row r="53" spans="2:16" x14ac:dyDescent="0.4">
      <c r="F53" s="344"/>
      <c r="G53" s="339" t="s">
        <v>218</v>
      </c>
      <c r="H53" s="339" t="s">
        <v>31</v>
      </c>
      <c r="I53" s="339" t="s">
        <v>30</v>
      </c>
      <c r="J53" s="339" t="s">
        <v>29</v>
      </c>
      <c r="K53" s="339" t="s">
        <v>28</v>
      </c>
      <c r="L53" s="339" t="s">
        <v>27</v>
      </c>
      <c r="M53" s="339" t="s">
        <v>26</v>
      </c>
      <c r="N53" s="339" t="s">
        <v>25</v>
      </c>
      <c r="O53" s="339" t="s">
        <v>63</v>
      </c>
      <c r="P53" s="412"/>
    </row>
    <row r="54" spans="2:16" x14ac:dyDescent="0.4">
      <c r="G54" s="367">
        <f>G48/G51</f>
        <v>5.2631578947368418E-2</v>
      </c>
      <c r="H54" s="367">
        <f>H48/H51</f>
        <v>0.12149532710280374</v>
      </c>
      <c r="I54" s="367">
        <f t="shared" ref="I54:O54" si="11">I48/I51</f>
        <v>0.20846394984326019</v>
      </c>
      <c r="J54" s="367">
        <f t="shared" si="11"/>
        <v>0.24739039665970772</v>
      </c>
      <c r="K54" s="367">
        <f t="shared" si="11"/>
        <v>0.33984028393966281</v>
      </c>
      <c r="L54" s="367">
        <f t="shared" si="11"/>
        <v>0.34461054287962234</v>
      </c>
      <c r="M54" s="367">
        <f t="shared" si="11"/>
        <v>0.26697892271662765</v>
      </c>
      <c r="N54" s="367">
        <f t="shared" si="11"/>
        <v>0.21264367816091953</v>
      </c>
      <c r="O54" s="367">
        <f t="shared" si="11"/>
        <v>0.16279069767441862</v>
      </c>
    </row>
    <row r="55" spans="2:16" x14ac:dyDescent="0.4">
      <c r="G55" s="367"/>
      <c r="H55" s="367"/>
      <c r="I55" s="367"/>
      <c r="J55" s="367"/>
      <c r="K55" s="367"/>
      <c r="L55" s="367"/>
      <c r="M55" s="367"/>
      <c r="N55" s="367"/>
      <c r="O55" s="367"/>
    </row>
    <row r="56" spans="2:16" x14ac:dyDescent="0.4">
      <c r="B56" s="341" t="s">
        <v>298</v>
      </c>
      <c r="P56" s="342" t="s">
        <v>32</v>
      </c>
    </row>
    <row r="58" spans="2:16" x14ac:dyDescent="0.4">
      <c r="C58" s="341" t="s">
        <v>22</v>
      </c>
      <c r="D58" s="368"/>
      <c r="F58" s="346"/>
      <c r="G58" s="347" t="s">
        <v>218</v>
      </c>
      <c r="H58" s="348" t="s">
        <v>31</v>
      </c>
      <c r="I58" s="349" t="s">
        <v>30</v>
      </c>
      <c r="J58" s="349" t="s">
        <v>29</v>
      </c>
      <c r="K58" s="349" t="s">
        <v>28</v>
      </c>
      <c r="L58" s="349" t="s">
        <v>27</v>
      </c>
      <c r="M58" s="349" t="s">
        <v>26</v>
      </c>
      <c r="N58" s="350" t="s">
        <v>25</v>
      </c>
      <c r="O58" s="348" t="s">
        <v>24</v>
      </c>
      <c r="P58" s="349" t="s">
        <v>23</v>
      </c>
    </row>
    <row r="59" spans="2:16" x14ac:dyDescent="0.4">
      <c r="C59" s="341" t="s">
        <v>75</v>
      </c>
      <c r="D59" s="368">
        <f>P59/$P$62</f>
        <v>0.16011319630622581</v>
      </c>
      <c r="F59" s="347">
        <v>1</v>
      </c>
      <c r="G59" s="335">
        <v>0</v>
      </c>
      <c r="H59" s="336">
        <v>10</v>
      </c>
      <c r="I59" s="337">
        <v>32</v>
      </c>
      <c r="J59" s="337">
        <v>78</v>
      </c>
      <c r="K59" s="337">
        <v>208</v>
      </c>
      <c r="L59" s="337">
        <v>265</v>
      </c>
      <c r="M59" s="337">
        <v>360</v>
      </c>
      <c r="N59" s="338">
        <v>114</v>
      </c>
      <c r="O59" s="336">
        <v>8</v>
      </c>
      <c r="P59" s="351">
        <f>SUM(G59:O59)</f>
        <v>1075</v>
      </c>
    </row>
    <row r="60" spans="2:16" x14ac:dyDescent="0.4">
      <c r="C60" s="341" t="s">
        <v>74</v>
      </c>
      <c r="D60" s="368">
        <f>P60/$P$62</f>
        <v>0.75618111408996125</v>
      </c>
      <c r="F60" s="347">
        <v>2</v>
      </c>
      <c r="G60" s="335">
        <v>19</v>
      </c>
      <c r="H60" s="336">
        <v>410</v>
      </c>
      <c r="I60" s="337">
        <v>576</v>
      </c>
      <c r="J60" s="337">
        <v>825</v>
      </c>
      <c r="K60" s="337">
        <v>851</v>
      </c>
      <c r="L60" s="337">
        <v>888</v>
      </c>
      <c r="M60" s="337">
        <v>1146</v>
      </c>
      <c r="N60" s="338">
        <v>335</v>
      </c>
      <c r="O60" s="336">
        <v>27</v>
      </c>
      <c r="P60" s="351">
        <f t="shared" ref="P60:P62" si="12">SUM(G60:O60)</f>
        <v>5077</v>
      </c>
    </row>
    <row r="61" spans="2:16" x14ac:dyDescent="0.4">
      <c r="C61" s="369" t="s">
        <v>18</v>
      </c>
      <c r="D61" s="368">
        <f>P61/$P$62</f>
        <v>8.370568960381293E-2</v>
      </c>
      <c r="F61" s="364" t="s">
        <v>18</v>
      </c>
      <c r="G61" s="335">
        <v>0</v>
      </c>
      <c r="H61" s="361">
        <v>8</v>
      </c>
      <c r="I61" s="362">
        <v>30</v>
      </c>
      <c r="J61" s="362">
        <v>55</v>
      </c>
      <c r="K61" s="362">
        <v>68</v>
      </c>
      <c r="L61" s="362">
        <v>118</v>
      </c>
      <c r="M61" s="362">
        <v>202</v>
      </c>
      <c r="N61" s="363">
        <v>73</v>
      </c>
      <c r="O61" s="336">
        <v>8</v>
      </c>
      <c r="P61" s="351">
        <f t="shared" si="12"/>
        <v>562</v>
      </c>
    </row>
    <row r="62" spans="2:16" x14ac:dyDescent="0.4">
      <c r="F62" s="365" t="s">
        <v>23</v>
      </c>
      <c r="G62" s="366">
        <f>SUM(G59:G61)</f>
        <v>19</v>
      </c>
      <c r="H62" s="366">
        <f>SUM(H59:H61)</f>
        <v>428</v>
      </c>
      <c r="I62" s="366">
        <f t="shared" ref="I62:O62" si="13">SUM(I59:I61)</f>
        <v>638</v>
      </c>
      <c r="J62" s="366">
        <f t="shared" si="13"/>
        <v>958</v>
      </c>
      <c r="K62" s="366">
        <f t="shared" si="13"/>
        <v>1127</v>
      </c>
      <c r="L62" s="366">
        <f t="shared" si="13"/>
        <v>1271</v>
      </c>
      <c r="M62" s="366">
        <f t="shared" si="13"/>
        <v>1708</v>
      </c>
      <c r="N62" s="366">
        <f t="shared" si="13"/>
        <v>522</v>
      </c>
      <c r="O62" s="366">
        <f t="shared" si="13"/>
        <v>43</v>
      </c>
      <c r="P62" s="351">
        <f t="shared" si="12"/>
        <v>6714</v>
      </c>
    </row>
    <row r="63" spans="2:16" x14ac:dyDescent="0.4">
      <c r="F63" s="344"/>
      <c r="G63" s="412"/>
      <c r="H63" s="412"/>
      <c r="I63" s="412"/>
      <c r="J63" s="412"/>
      <c r="K63" s="412"/>
      <c r="L63" s="412"/>
      <c r="M63" s="412"/>
      <c r="N63" s="412"/>
      <c r="O63" s="412"/>
      <c r="P63" s="412"/>
    </row>
    <row r="64" spans="2:16" x14ac:dyDescent="0.4">
      <c r="F64" s="344"/>
      <c r="G64" s="339" t="s">
        <v>218</v>
      </c>
      <c r="H64" s="339" t="s">
        <v>31</v>
      </c>
      <c r="I64" s="339" t="s">
        <v>30</v>
      </c>
      <c r="J64" s="339" t="s">
        <v>29</v>
      </c>
      <c r="K64" s="339" t="s">
        <v>28</v>
      </c>
      <c r="L64" s="339" t="s">
        <v>27</v>
      </c>
      <c r="M64" s="339" t="s">
        <v>26</v>
      </c>
      <c r="N64" s="339" t="s">
        <v>25</v>
      </c>
      <c r="O64" s="339" t="s">
        <v>63</v>
      </c>
      <c r="P64" s="412"/>
    </row>
    <row r="65" spans="2:16" x14ac:dyDescent="0.4">
      <c r="F65" s="344"/>
      <c r="G65" s="367">
        <f>G59/G62</f>
        <v>0</v>
      </c>
      <c r="H65" s="367">
        <f>H59/H62</f>
        <v>2.336448598130841E-2</v>
      </c>
      <c r="I65" s="367">
        <f>I59/I62</f>
        <v>5.0156739811912224E-2</v>
      </c>
      <c r="J65" s="367">
        <f t="shared" ref="J65:O65" si="14">J59/J62</f>
        <v>8.1419624217118999E-2</v>
      </c>
      <c r="K65" s="367">
        <f t="shared" si="14"/>
        <v>0.18456078083407276</v>
      </c>
      <c r="L65" s="367">
        <f t="shared" si="14"/>
        <v>0.20849724626278521</v>
      </c>
      <c r="M65" s="367">
        <f t="shared" si="14"/>
        <v>0.21077283372365341</v>
      </c>
      <c r="N65" s="367">
        <f t="shared" si="14"/>
        <v>0.21839080459770116</v>
      </c>
      <c r="O65" s="367">
        <f t="shared" si="14"/>
        <v>0.18604651162790697</v>
      </c>
      <c r="P65" s="412"/>
    </row>
    <row r="66" spans="2:16" x14ac:dyDescent="0.4">
      <c r="F66" s="344"/>
      <c r="G66" s="367"/>
      <c r="H66" s="367"/>
      <c r="I66" s="367"/>
      <c r="J66" s="367"/>
      <c r="K66" s="367"/>
      <c r="L66" s="367"/>
      <c r="M66" s="367"/>
      <c r="N66" s="367"/>
      <c r="O66" s="367"/>
      <c r="P66" s="412"/>
    </row>
    <row r="67" spans="2:16" x14ac:dyDescent="0.4">
      <c r="B67" s="341" t="s">
        <v>291</v>
      </c>
      <c r="F67" s="344"/>
      <c r="G67" s="412"/>
      <c r="H67" s="412"/>
      <c r="I67" s="412"/>
      <c r="J67" s="412"/>
      <c r="K67" s="412"/>
      <c r="L67" s="412"/>
      <c r="M67" s="412"/>
      <c r="N67" s="412"/>
      <c r="O67" s="412"/>
      <c r="P67" s="342" t="s">
        <v>32</v>
      </c>
    </row>
    <row r="68" spans="2:16" x14ac:dyDescent="0.4">
      <c r="F68" s="344"/>
      <c r="G68" s="412"/>
      <c r="H68" s="412"/>
      <c r="I68" s="412"/>
      <c r="J68" s="412"/>
      <c r="K68" s="412"/>
      <c r="L68" s="412"/>
      <c r="M68" s="412"/>
      <c r="N68" s="412"/>
      <c r="O68" s="412"/>
      <c r="P68" s="412"/>
    </row>
    <row r="69" spans="2:16" x14ac:dyDescent="0.4">
      <c r="C69" s="341" t="s">
        <v>22</v>
      </c>
      <c r="D69" s="368"/>
      <c r="F69" s="346"/>
      <c r="G69" s="347" t="s">
        <v>218</v>
      </c>
      <c r="H69" s="348" t="s">
        <v>31</v>
      </c>
      <c r="I69" s="349" t="s">
        <v>30</v>
      </c>
      <c r="J69" s="349" t="s">
        <v>29</v>
      </c>
      <c r="K69" s="349" t="s">
        <v>28</v>
      </c>
      <c r="L69" s="349" t="s">
        <v>27</v>
      </c>
      <c r="M69" s="349" t="s">
        <v>26</v>
      </c>
      <c r="N69" s="350" t="s">
        <v>25</v>
      </c>
      <c r="O69" s="348" t="s">
        <v>24</v>
      </c>
      <c r="P69" s="349" t="s">
        <v>23</v>
      </c>
    </row>
    <row r="70" spans="2:16" x14ac:dyDescent="0.4">
      <c r="C70" s="341" t="s">
        <v>75</v>
      </c>
      <c r="D70" s="368">
        <f>P70/$P$73</f>
        <v>7.0896633899314859E-2</v>
      </c>
      <c r="F70" s="347">
        <v>1</v>
      </c>
      <c r="G70" s="335">
        <v>0</v>
      </c>
      <c r="H70" s="336">
        <v>6</v>
      </c>
      <c r="I70" s="337">
        <v>9</v>
      </c>
      <c r="J70" s="337">
        <v>35</v>
      </c>
      <c r="K70" s="337">
        <v>95</v>
      </c>
      <c r="L70" s="337">
        <v>121</v>
      </c>
      <c r="M70" s="337">
        <v>164</v>
      </c>
      <c r="N70" s="338">
        <v>46</v>
      </c>
      <c r="O70" s="336">
        <v>0</v>
      </c>
      <c r="P70" s="351">
        <f>SUM(G70:O70)</f>
        <v>476</v>
      </c>
    </row>
    <row r="71" spans="2:16" x14ac:dyDescent="0.4">
      <c r="C71" s="341" t="s">
        <v>74</v>
      </c>
      <c r="D71" s="368">
        <f t="shared" ref="D71:D72" si="15">P71/$P$73</f>
        <v>0.83422698838248432</v>
      </c>
      <c r="F71" s="347">
        <v>2</v>
      </c>
      <c r="G71" s="335">
        <v>19</v>
      </c>
      <c r="H71" s="336">
        <v>414</v>
      </c>
      <c r="I71" s="337">
        <v>597</v>
      </c>
      <c r="J71" s="337">
        <v>866</v>
      </c>
      <c r="K71" s="337">
        <v>957</v>
      </c>
      <c r="L71" s="337">
        <v>1018</v>
      </c>
      <c r="M71" s="337">
        <v>1301</v>
      </c>
      <c r="N71" s="338">
        <v>395</v>
      </c>
      <c r="O71" s="336">
        <v>34</v>
      </c>
      <c r="P71" s="351">
        <f t="shared" ref="P71:P73" si="16">SUM(G71:O71)</f>
        <v>5601</v>
      </c>
    </row>
    <row r="72" spans="2:16" x14ac:dyDescent="0.4">
      <c r="C72" s="369" t="s">
        <v>18</v>
      </c>
      <c r="D72" s="368">
        <f t="shared" si="15"/>
        <v>9.4876377718200774E-2</v>
      </c>
      <c r="F72" s="364" t="s">
        <v>18</v>
      </c>
      <c r="G72" s="335">
        <v>0</v>
      </c>
      <c r="H72" s="361">
        <v>8</v>
      </c>
      <c r="I72" s="362">
        <v>32</v>
      </c>
      <c r="J72" s="362">
        <v>57</v>
      </c>
      <c r="K72" s="362">
        <v>75</v>
      </c>
      <c r="L72" s="362">
        <v>132</v>
      </c>
      <c r="M72" s="362">
        <v>243</v>
      </c>
      <c r="N72" s="363">
        <v>81</v>
      </c>
      <c r="O72" s="336">
        <v>9</v>
      </c>
      <c r="P72" s="351">
        <f t="shared" si="16"/>
        <v>637</v>
      </c>
    </row>
    <row r="73" spans="2:16" x14ac:dyDescent="0.4">
      <c r="F73" s="365" t="s">
        <v>23</v>
      </c>
      <c r="G73" s="366">
        <f>SUM(G70:G72)</f>
        <v>19</v>
      </c>
      <c r="H73" s="366">
        <f>SUM(H70:H72)</f>
        <v>428</v>
      </c>
      <c r="I73" s="366">
        <f t="shared" ref="I73:O73" si="17">SUM(I70:I72)</f>
        <v>638</v>
      </c>
      <c r="J73" s="366">
        <f t="shared" si="17"/>
        <v>958</v>
      </c>
      <c r="K73" s="366">
        <f t="shared" si="17"/>
        <v>1127</v>
      </c>
      <c r="L73" s="366">
        <f t="shared" si="17"/>
        <v>1271</v>
      </c>
      <c r="M73" s="366">
        <f t="shared" si="17"/>
        <v>1708</v>
      </c>
      <c r="N73" s="366">
        <f t="shared" si="17"/>
        <v>522</v>
      </c>
      <c r="O73" s="366">
        <f t="shared" si="17"/>
        <v>43</v>
      </c>
      <c r="P73" s="351">
        <f t="shared" si="16"/>
        <v>6714</v>
      </c>
    </row>
    <row r="74" spans="2:16" x14ac:dyDescent="0.4">
      <c r="F74" s="344"/>
      <c r="G74" s="412"/>
      <c r="H74" s="412"/>
      <c r="I74" s="412"/>
      <c r="J74" s="412"/>
      <c r="K74" s="412"/>
      <c r="L74" s="412"/>
      <c r="M74" s="412"/>
      <c r="N74" s="412"/>
      <c r="O74" s="412"/>
      <c r="P74" s="412"/>
    </row>
    <row r="75" spans="2:16" x14ac:dyDescent="0.4">
      <c r="F75" s="344"/>
      <c r="G75" s="339" t="s">
        <v>218</v>
      </c>
      <c r="H75" s="339" t="s">
        <v>31</v>
      </c>
      <c r="I75" s="339" t="s">
        <v>30</v>
      </c>
      <c r="J75" s="339" t="s">
        <v>29</v>
      </c>
      <c r="K75" s="339" t="s">
        <v>28</v>
      </c>
      <c r="L75" s="339" t="s">
        <v>27</v>
      </c>
      <c r="M75" s="339" t="s">
        <v>26</v>
      </c>
      <c r="N75" s="339" t="s">
        <v>25</v>
      </c>
      <c r="O75" s="339" t="s">
        <v>63</v>
      </c>
      <c r="P75" s="412"/>
    </row>
    <row r="76" spans="2:16" x14ac:dyDescent="0.4">
      <c r="F76" s="344"/>
      <c r="G76" s="367">
        <f>G70/G73</f>
        <v>0</v>
      </c>
      <c r="H76" s="367">
        <f>H70/H73</f>
        <v>1.4018691588785047E-2</v>
      </c>
      <c r="I76" s="367">
        <f t="shared" ref="I76:O76" si="18">I70/I73</f>
        <v>1.4106583072100314E-2</v>
      </c>
      <c r="J76" s="367">
        <f>J70/J73</f>
        <v>3.6534446764091857E-2</v>
      </c>
      <c r="K76" s="367">
        <f t="shared" si="18"/>
        <v>8.4294587400177465E-2</v>
      </c>
      <c r="L76" s="367">
        <f t="shared" si="18"/>
        <v>9.5200629425649094E-2</v>
      </c>
      <c r="M76" s="367">
        <f t="shared" si="18"/>
        <v>9.6018735362997654E-2</v>
      </c>
      <c r="N76" s="367">
        <f t="shared" si="18"/>
        <v>8.8122605363984668E-2</v>
      </c>
      <c r="O76" s="367">
        <f t="shared" si="18"/>
        <v>0</v>
      </c>
      <c r="P76" s="412"/>
    </row>
    <row r="77" spans="2:16" x14ac:dyDescent="0.4">
      <c r="F77" s="344"/>
      <c r="G77" s="367"/>
      <c r="H77" s="367"/>
      <c r="I77" s="367"/>
      <c r="J77" s="367"/>
      <c r="K77" s="367"/>
      <c r="L77" s="367"/>
      <c r="M77" s="367"/>
      <c r="N77" s="367"/>
      <c r="O77" s="367"/>
      <c r="P77" s="412"/>
    </row>
    <row r="78" spans="2:16" x14ac:dyDescent="0.4">
      <c r="B78" s="341" t="s">
        <v>292</v>
      </c>
      <c r="F78" s="344"/>
      <c r="G78" s="412"/>
      <c r="H78" s="412"/>
      <c r="I78" s="412"/>
      <c r="J78" s="412"/>
      <c r="K78" s="412"/>
      <c r="L78" s="412"/>
      <c r="M78" s="412"/>
      <c r="N78" s="412"/>
      <c r="O78" s="412"/>
      <c r="P78" s="342" t="s">
        <v>32</v>
      </c>
    </row>
    <row r="79" spans="2:16" x14ac:dyDescent="0.4">
      <c r="F79" s="344"/>
      <c r="G79" s="412"/>
      <c r="H79" s="412"/>
      <c r="I79" s="412"/>
      <c r="J79" s="412"/>
      <c r="K79" s="412"/>
      <c r="L79" s="412"/>
      <c r="M79" s="412"/>
      <c r="N79" s="412"/>
      <c r="O79" s="412"/>
      <c r="P79" s="412"/>
    </row>
    <row r="80" spans="2:16" x14ac:dyDescent="0.4">
      <c r="C80" s="341" t="s">
        <v>22</v>
      </c>
      <c r="D80" s="368"/>
      <c r="F80" s="346"/>
      <c r="G80" s="347" t="s">
        <v>218</v>
      </c>
      <c r="H80" s="348" t="s">
        <v>31</v>
      </c>
      <c r="I80" s="349" t="s">
        <v>30</v>
      </c>
      <c r="J80" s="349" t="s">
        <v>29</v>
      </c>
      <c r="K80" s="349" t="s">
        <v>28</v>
      </c>
      <c r="L80" s="349" t="s">
        <v>27</v>
      </c>
      <c r="M80" s="349" t="s">
        <v>26</v>
      </c>
      <c r="N80" s="350" t="s">
        <v>25</v>
      </c>
      <c r="O80" s="348" t="s">
        <v>24</v>
      </c>
      <c r="P80" s="349" t="s">
        <v>23</v>
      </c>
    </row>
    <row r="81" spans="2:16" x14ac:dyDescent="0.4">
      <c r="C81" s="341" t="s">
        <v>263</v>
      </c>
      <c r="D81" s="368">
        <f>P81/$P$87</f>
        <v>1.0128090557044981E-2</v>
      </c>
      <c r="F81" s="347">
        <v>1</v>
      </c>
      <c r="G81" s="335">
        <v>2</v>
      </c>
      <c r="H81" s="336">
        <v>4</v>
      </c>
      <c r="I81" s="337">
        <v>11</v>
      </c>
      <c r="J81" s="337">
        <v>17</v>
      </c>
      <c r="K81" s="337">
        <v>14</v>
      </c>
      <c r="L81" s="337">
        <v>11</v>
      </c>
      <c r="M81" s="337">
        <v>8</v>
      </c>
      <c r="N81" s="338">
        <v>1</v>
      </c>
      <c r="O81" s="336">
        <v>0</v>
      </c>
      <c r="P81" s="351">
        <f>SUM(G81:O81)</f>
        <v>68</v>
      </c>
    </row>
    <row r="82" spans="2:16" x14ac:dyDescent="0.4">
      <c r="C82" s="341" t="s">
        <v>264</v>
      </c>
      <c r="D82" s="368">
        <f t="shared" ref="D82:D86" si="19">P82/$P$87</f>
        <v>3.9618707179028892E-2</v>
      </c>
      <c r="F82" s="347">
        <v>2</v>
      </c>
      <c r="G82" s="335">
        <v>0</v>
      </c>
      <c r="H82" s="336">
        <v>28</v>
      </c>
      <c r="I82" s="337">
        <v>43</v>
      </c>
      <c r="J82" s="337">
        <v>52</v>
      </c>
      <c r="K82" s="337">
        <v>47</v>
      </c>
      <c r="L82" s="337">
        <v>50</v>
      </c>
      <c r="M82" s="337">
        <v>36</v>
      </c>
      <c r="N82" s="338">
        <v>9</v>
      </c>
      <c r="O82" s="336">
        <v>1</v>
      </c>
      <c r="P82" s="351">
        <f t="shared" ref="P82:P87" si="20">SUM(G82:O82)</f>
        <v>266</v>
      </c>
    </row>
    <row r="83" spans="2:16" x14ac:dyDescent="0.4">
      <c r="C83" s="418" t="s">
        <v>309</v>
      </c>
      <c r="D83" s="368">
        <f t="shared" si="19"/>
        <v>0.22832886505808758</v>
      </c>
      <c r="F83" s="347">
        <v>3</v>
      </c>
      <c r="G83" s="335">
        <v>5</v>
      </c>
      <c r="H83" s="361">
        <v>114</v>
      </c>
      <c r="I83" s="362">
        <v>194</v>
      </c>
      <c r="J83" s="362">
        <v>299</v>
      </c>
      <c r="K83" s="362">
        <v>304</v>
      </c>
      <c r="L83" s="362">
        <v>295</v>
      </c>
      <c r="M83" s="362">
        <v>270</v>
      </c>
      <c r="N83" s="363">
        <v>48</v>
      </c>
      <c r="O83" s="336">
        <v>4</v>
      </c>
      <c r="P83" s="351">
        <f t="shared" si="20"/>
        <v>1533</v>
      </c>
    </row>
    <row r="84" spans="2:16" x14ac:dyDescent="0.4">
      <c r="C84" s="341" t="s">
        <v>265</v>
      </c>
      <c r="D84" s="368">
        <f t="shared" si="19"/>
        <v>0.355674709562109</v>
      </c>
      <c r="F84" s="347">
        <v>4</v>
      </c>
      <c r="G84" s="335">
        <v>8</v>
      </c>
      <c r="H84" s="361">
        <v>136</v>
      </c>
      <c r="I84" s="362">
        <v>226</v>
      </c>
      <c r="J84" s="362">
        <v>358</v>
      </c>
      <c r="K84" s="362">
        <v>425</v>
      </c>
      <c r="L84" s="362">
        <v>466</v>
      </c>
      <c r="M84" s="362">
        <v>584</v>
      </c>
      <c r="N84" s="363">
        <v>178</v>
      </c>
      <c r="O84" s="336">
        <v>7</v>
      </c>
      <c r="P84" s="351">
        <f t="shared" si="20"/>
        <v>2388</v>
      </c>
    </row>
    <row r="85" spans="2:16" x14ac:dyDescent="0.4">
      <c r="C85" s="341" t="s">
        <v>266</v>
      </c>
      <c r="D85" s="368">
        <f t="shared" si="19"/>
        <v>0.31322609472743523</v>
      </c>
      <c r="F85" s="347">
        <v>5</v>
      </c>
      <c r="G85" s="335">
        <v>4</v>
      </c>
      <c r="H85" s="361">
        <v>141</v>
      </c>
      <c r="I85" s="362">
        <v>148</v>
      </c>
      <c r="J85" s="362">
        <v>201</v>
      </c>
      <c r="K85" s="362">
        <v>298</v>
      </c>
      <c r="L85" s="362">
        <v>375</v>
      </c>
      <c r="M85" s="362">
        <v>669</v>
      </c>
      <c r="N85" s="363">
        <v>241</v>
      </c>
      <c r="O85" s="336">
        <v>26</v>
      </c>
      <c r="P85" s="351">
        <f t="shared" si="20"/>
        <v>2103</v>
      </c>
    </row>
    <row r="86" spans="2:16" x14ac:dyDescent="0.4">
      <c r="C86" s="369" t="s">
        <v>18</v>
      </c>
      <c r="D86" s="368">
        <f t="shared" si="19"/>
        <v>5.3023532916294309E-2</v>
      </c>
      <c r="F86" s="364" t="s">
        <v>18</v>
      </c>
      <c r="G86" s="335">
        <v>0</v>
      </c>
      <c r="H86" s="361">
        <v>5</v>
      </c>
      <c r="I86" s="362">
        <v>16</v>
      </c>
      <c r="J86" s="362">
        <v>31</v>
      </c>
      <c r="K86" s="362">
        <v>39</v>
      </c>
      <c r="L86" s="362">
        <v>74</v>
      </c>
      <c r="M86" s="362">
        <v>141</v>
      </c>
      <c r="N86" s="363">
        <v>45</v>
      </c>
      <c r="O86" s="336">
        <v>5</v>
      </c>
      <c r="P86" s="351">
        <f t="shared" si="20"/>
        <v>356</v>
      </c>
    </row>
    <row r="87" spans="2:16" x14ac:dyDescent="0.4">
      <c r="F87" s="365" t="s">
        <v>23</v>
      </c>
      <c r="G87" s="366">
        <f t="shared" ref="G87:O87" si="21">SUM(G81:G86)</f>
        <v>19</v>
      </c>
      <c r="H87" s="366">
        <f t="shared" si="21"/>
        <v>428</v>
      </c>
      <c r="I87" s="366">
        <f t="shared" si="21"/>
        <v>638</v>
      </c>
      <c r="J87" s="366">
        <f t="shared" si="21"/>
        <v>958</v>
      </c>
      <c r="K87" s="366">
        <f t="shared" si="21"/>
        <v>1127</v>
      </c>
      <c r="L87" s="366">
        <f t="shared" si="21"/>
        <v>1271</v>
      </c>
      <c r="M87" s="366">
        <f t="shared" si="21"/>
        <v>1708</v>
      </c>
      <c r="N87" s="366">
        <f t="shared" si="21"/>
        <v>522</v>
      </c>
      <c r="O87" s="366">
        <f t="shared" si="21"/>
        <v>43</v>
      </c>
      <c r="P87" s="351">
        <f t="shared" si="20"/>
        <v>6714</v>
      </c>
    </row>
    <row r="88" spans="2:16" x14ac:dyDescent="0.4">
      <c r="F88" s="344"/>
      <c r="G88" s="412"/>
      <c r="H88" s="412"/>
      <c r="I88" s="412"/>
      <c r="J88" s="412"/>
      <c r="K88" s="412"/>
      <c r="L88" s="412"/>
      <c r="M88" s="412"/>
      <c r="N88" s="412"/>
      <c r="O88" s="412"/>
      <c r="P88" s="412"/>
    </row>
    <row r="89" spans="2:16" x14ac:dyDescent="0.4">
      <c r="F89" s="344"/>
      <c r="G89" s="339" t="s">
        <v>218</v>
      </c>
      <c r="H89" s="339" t="s">
        <v>31</v>
      </c>
      <c r="I89" s="339" t="s">
        <v>30</v>
      </c>
      <c r="J89" s="339" t="s">
        <v>29</v>
      </c>
      <c r="K89" s="339" t="s">
        <v>28</v>
      </c>
      <c r="L89" s="339" t="s">
        <v>27</v>
      </c>
      <c r="M89" s="339" t="s">
        <v>26</v>
      </c>
      <c r="N89" s="339" t="s">
        <v>25</v>
      </c>
      <c r="O89" s="339" t="s">
        <v>63</v>
      </c>
      <c r="P89" s="412" t="s">
        <v>304</v>
      </c>
    </row>
    <row r="90" spans="2:16" x14ac:dyDescent="0.4">
      <c r="G90" s="367">
        <f>SUM(G81:G83)/G87</f>
        <v>0.36842105263157893</v>
      </c>
      <c r="H90" s="367">
        <f t="shared" ref="H90:O90" si="22">SUM(H81:H83)/H87</f>
        <v>0.34112149532710279</v>
      </c>
      <c r="I90" s="367">
        <f t="shared" si="22"/>
        <v>0.38871473354231972</v>
      </c>
      <c r="J90" s="367">
        <f t="shared" si="22"/>
        <v>0.38413361169102295</v>
      </c>
      <c r="K90" s="367">
        <f t="shared" si="22"/>
        <v>0.32386867790594498</v>
      </c>
      <c r="L90" s="367">
        <f t="shared" si="22"/>
        <v>0.28009441384736428</v>
      </c>
      <c r="M90" s="367">
        <f t="shared" si="22"/>
        <v>0.18384074941451992</v>
      </c>
      <c r="N90" s="367">
        <f t="shared" si="22"/>
        <v>0.1111111111111111</v>
      </c>
      <c r="O90" s="367">
        <f t="shared" si="22"/>
        <v>0.11627906976744186</v>
      </c>
      <c r="P90" s="367">
        <f>SUM(P81:P83)/P87</f>
        <v>0.27807566279416146</v>
      </c>
    </row>
    <row r="91" spans="2:16" x14ac:dyDescent="0.4">
      <c r="G91" s="367"/>
      <c r="H91" s="367"/>
      <c r="I91" s="367"/>
      <c r="J91" s="367"/>
      <c r="K91" s="367"/>
      <c r="L91" s="367"/>
      <c r="M91" s="367"/>
      <c r="N91" s="367"/>
      <c r="O91" s="367"/>
    </row>
    <row r="92" spans="2:16" x14ac:dyDescent="0.4">
      <c r="B92" s="341" t="s">
        <v>267</v>
      </c>
      <c r="P92" s="342" t="s">
        <v>32</v>
      </c>
    </row>
    <row r="93" spans="2:16" x14ac:dyDescent="0.4">
      <c r="P93" s="342"/>
    </row>
    <row r="94" spans="2:16" ht="19.5" customHeight="1" x14ac:dyDescent="0.4">
      <c r="B94" s="376"/>
      <c r="C94" s="341" t="s">
        <v>22</v>
      </c>
      <c r="D94" s="368"/>
      <c r="F94" s="346"/>
      <c r="G94" s="347" t="s">
        <v>218</v>
      </c>
      <c r="H94" s="348" t="s">
        <v>31</v>
      </c>
      <c r="I94" s="349" t="s">
        <v>30</v>
      </c>
      <c r="J94" s="349" t="s">
        <v>29</v>
      </c>
      <c r="K94" s="349" t="s">
        <v>28</v>
      </c>
      <c r="L94" s="349" t="s">
        <v>27</v>
      </c>
      <c r="M94" s="349" t="s">
        <v>26</v>
      </c>
      <c r="N94" s="350" t="s">
        <v>25</v>
      </c>
      <c r="O94" s="348" t="s">
        <v>24</v>
      </c>
      <c r="P94" s="349" t="s">
        <v>23</v>
      </c>
    </row>
    <row r="95" spans="2:16" x14ac:dyDescent="0.4">
      <c r="C95" s="341" t="s">
        <v>75</v>
      </c>
      <c r="D95" s="368">
        <f>P95/$P$98</f>
        <v>0.14179326779862972</v>
      </c>
      <c r="F95" s="347">
        <v>1</v>
      </c>
      <c r="G95" s="335">
        <v>3</v>
      </c>
      <c r="H95" s="336">
        <v>69</v>
      </c>
      <c r="I95" s="337">
        <v>132</v>
      </c>
      <c r="J95" s="337">
        <v>178</v>
      </c>
      <c r="K95" s="337">
        <v>192</v>
      </c>
      <c r="L95" s="337">
        <v>180</v>
      </c>
      <c r="M95" s="337">
        <v>172</v>
      </c>
      <c r="N95" s="338">
        <v>25</v>
      </c>
      <c r="O95" s="336">
        <v>1</v>
      </c>
      <c r="P95" s="351">
        <f t="shared" ref="P95:P98" si="23">SUM(G95:O95)</f>
        <v>952</v>
      </c>
    </row>
    <row r="96" spans="2:16" x14ac:dyDescent="0.4">
      <c r="C96" s="341" t="s">
        <v>74</v>
      </c>
      <c r="D96" s="368">
        <f>P96/$P$98</f>
        <v>0.82007745010425981</v>
      </c>
      <c r="F96" s="347">
        <v>2</v>
      </c>
      <c r="G96" s="335">
        <v>16</v>
      </c>
      <c r="H96" s="336">
        <v>354</v>
      </c>
      <c r="I96" s="337">
        <v>493</v>
      </c>
      <c r="J96" s="337">
        <v>758</v>
      </c>
      <c r="K96" s="337">
        <v>915</v>
      </c>
      <c r="L96" s="337">
        <v>1044</v>
      </c>
      <c r="M96" s="337">
        <v>1426</v>
      </c>
      <c r="N96" s="338">
        <v>464</v>
      </c>
      <c r="O96" s="336">
        <v>36</v>
      </c>
      <c r="P96" s="351">
        <f t="shared" si="23"/>
        <v>5506</v>
      </c>
    </row>
    <row r="97" spans="2:16" x14ac:dyDescent="0.4">
      <c r="C97" s="369" t="s">
        <v>18</v>
      </c>
      <c r="D97" s="368">
        <f>P97/$P$98</f>
        <v>3.8129282097110515E-2</v>
      </c>
      <c r="F97" s="364" t="s">
        <v>18</v>
      </c>
      <c r="G97" s="335">
        <v>0</v>
      </c>
      <c r="H97" s="361">
        <v>5</v>
      </c>
      <c r="I97" s="362">
        <v>13</v>
      </c>
      <c r="J97" s="362">
        <v>22</v>
      </c>
      <c r="K97" s="362">
        <v>20</v>
      </c>
      <c r="L97" s="362">
        <v>47</v>
      </c>
      <c r="M97" s="362">
        <v>110</v>
      </c>
      <c r="N97" s="363">
        <v>33</v>
      </c>
      <c r="O97" s="336">
        <v>6</v>
      </c>
      <c r="P97" s="351">
        <f t="shared" si="23"/>
        <v>256</v>
      </c>
    </row>
    <row r="98" spans="2:16" x14ac:dyDescent="0.4">
      <c r="F98" s="365" t="s">
        <v>23</v>
      </c>
      <c r="G98" s="366">
        <f>SUM(G95:G97)</f>
        <v>19</v>
      </c>
      <c r="H98" s="366">
        <f>SUM(H95:H97)</f>
        <v>428</v>
      </c>
      <c r="I98" s="366">
        <f t="shared" ref="I98:O98" si="24">SUM(I95:I97)</f>
        <v>638</v>
      </c>
      <c r="J98" s="366">
        <f t="shared" si="24"/>
        <v>958</v>
      </c>
      <c r="K98" s="366">
        <f t="shared" si="24"/>
        <v>1127</v>
      </c>
      <c r="L98" s="366">
        <f t="shared" si="24"/>
        <v>1271</v>
      </c>
      <c r="M98" s="366">
        <f t="shared" si="24"/>
        <v>1708</v>
      </c>
      <c r="N98" s="366">
        <f t="shared" si="24"/>
        <v>522</v>
      </c>
      <c r="O98" s="366">
        <f t="shared" si="24"/>
        <v>43</v>
      </c>
      <c r="P98" s="351">
        <f t="shared" si="23"/>
        <v>6714</v>
      </c>
    </row>
    <row r="100" spans="2:16" x14ac:dyDescent="0.4">
      <c r="G100" s="339" t="s">
        <v>218</v>
      </c>
      <c r="H100" s="339" t="s">
        <v>31</v>
      </c>
      <c r="I100" s="339" t="s">
        <v>30</v>
      </c>
      <c r="J100" s="339" t="s">
        <v>29</v>
      </c>
      <c r="K100" s="339" t="s">
        <v>28</v>
      </c>
      <c r="L100" s="339" t="s">
        <v>27</v>
      </c>
      <c r="M100" s="339" t="s">
        <v>26</v>
      </c>
      <c r="N100" s="339" t="s">
        <v>25</v>
      </c>
      <c r="O100" s="339" t="s">
        <v>63</v>
      </c>
    </row>
    <row r="101" spans="2:16" x14ac:dyDescent="0.4">
      <c r="G101" s="367">
        <f>G95/G98</f>
        <v>0.15789473684210525</v>
      </c>
      <c r="H101" s="367">
        <f>H95/H98</f>
        <v>0.16121495327102803</v>
      </c>
      <c r="I101" s="367">
        <f t="shared" ref="I101:O101" si="25">I95/I98</f>
        <v>0.20689655172413793</v>
      </c>
      <c r="J101" s="367">
        <f t="shared" si="25"/>
        <v>0.18580375782881003</v>
      </c>
      <c r="K101" s="367">
        <f t="shared" si="25"/>
        <v>0.17036379769299023</v>
      </c>
      <c r="L101" s="367">
        <f t="shared" si="25"/>
        <v>0.14162077104642015</v>
      </c>
      <c r="M101" s="367">
        <f t="shared" si="25"/>
        <v>0.10070257611241218</v>
      </c>
      <c r="N101" s="367">
        <f t="shared" si="25"/>
        <v>4.7892720306513412E-2</v>
      </c>
      <c r="O101" s="367">
        <f t="shared" si="25"/>
        <v>2.3255813953488372E-2</v>
      </c>
    </row>
    <row r="103" spans="2:16" x14ac:dyDescent="0.4">
      <c r="B103" s="341" t="s">
        <v>268</v>
      </c>
      <c r="P103" s="342" t="s">
        <v>32</v>
      </c>
    </row>
    <row r="104" spans="2:16" x14ac:dyDescent="0.4">
      <c r="P104" s="342"/>
    </row>
    <row r="105" spans="2:16" ht="17.25" customHeight="1" x14ac:dyDescent="0.4">
      <c r="B105" s="376"/>
      <c r="C105" s="341" t="s">
        <v>22</v>
      </c>
      <c r="D105" s="368"/>
      <c r="F105" s="346"/>
      <c r="G105" s="347" t="s">
        <v>218</v>
      </c>
      <c r="H105" s="348" t="s">
        <v>31</v>
      </c>
      <c r="I105" s="349" t="s">
        <v>30</v>
      </c>
      <c r="J105" s="349" t="s">
        <v>29</v>
      </c>
      <c r="K105" s="349" t="s">
        <v>28</v>
      </c>
      <c r="L105" s="349" t="s">
        <v>27</v>
      </c>
      <c r="M105" s="349" t="s">
        <v>26</v>
      </c>
      <c r="N105" s="350" t="s">
        <v>25</v>
      </c>
      <c r="O105" s="348" t="s">
        <v>24</v>
      </c>
      <c r="P105" s="349" t="s">
        <v>23</v>
      </c>
    </row>
    <row r="106" spans="2:16" x14ac:dyDescent="0.4">
      <c r="C106" s="341" t="s">
        <v>75</v>
      </c>
      <c r="D106" s="368">
        <f>P106/$P$109</f>
        <v>6.1811140899612753E-2</v>
      </c>
      <c r="F106" s="347">
        <v>1</v>
      </c>
      <c r="G106" s="335">
        <v>2</v>
      </c>
      <c r="H106" s="336">
        <v>14</v>
      </c>
      <c r="I106" s="337">
        <v>22</v>
      </c>
      <c r="J106" s="337">
        <v>52</v>
      </c>
      <c r="K106" s="337">
        <v>83</v>
      </c>
      <c r="L106" s="337">
        <v>104</v>
      </c>
      <c r="M106" s="337">
        <v>107</v>
      </c>
      <c r="N106" s="338">
        <v>28</v>
      </c>
      <c r="O106" s="336">
        <v>3</v>
      </c>
      <c r="P106" s="351">
        <f>SUM(G106:O106)</f>
        <v>415</v>
      </c>
    </row>
    <row r="107" spans="2:16" x14ac:dyDescent="0.4">
      <c r="C107" s="341" t="s">
        <v>74</v>
      </c>
      <c r="D107" s="368">
        <f>P107/$P$109</f>
        <v>0.88933571641346443</v>
      </c>
      <c r="F107" s="347">
        <v>2</v>
      </c>
      <c r="G107" s="335">
        <v>17</v>
      </c>
      <c r="H107" s="336">
        <v>409</v>
      </c>
      <c r="I107" s="337">
        <v>599</v>
      </c>
      <c r="J107" s="337">
        <v>877</v>
      </c>
      <c r="K107" s="337">
        <v>1010</v>
      </c>
      <c r="L107" s="337">
        <v>1100</v>
      </c>
      <c r="M107" s="337">
        <v>1476</v>
      </c>
      <c r="N107" s="338">
        <v>449</v>
      </c>
      <c r="O107" s="336">
        <v>34</v>
      </c>
      <c r="P107" s="351">
        <f t="shared" ref="P107:P109" si="26">SUM(G107:O107)</f>
        <v>5971</v>
      </c>
    </row>
    <row r="108" spans="2:16" x14ac:dyDescent="0.4">
      <c r="C108" s="369" t="s">
        <v>18</v>
      </c>
      <c r="D108" s="368">
        <f>P108/$P$109</f>
        <v>4.8853142686922847E-2</v>
      </c>
      <c r="F108" s="364" t="s">
        <v>18</v>
      </c>
      <c r="G108" s="335">
        <v>0</v>
      </c>
      <c r="H108" s="361">
        <v>5</v>
      </c>
      <c r="I108" s="362">
        <v>17</v>
      </c>
      <c r="J108" s="362">
        <v>29</v>
      </c>
      <c r="K108" s="362">
        <v>34</v>
      </c>
      <c r="L108" s="362">
        <v>67</v>
      </c>
      <c r="M108" s="362">
        <v>125</v>
      </c>
      <c r="N108" s="363">
        <v>45</v>
      </c>
      <c r="O108" s="336">
        <v>6</v>
      </c>
      <c r="P108" s="351">
        <f t="shared" si="26"/>
        <v>328</v>
      </c>
    </row>
    <row r="109" spans="2:16" x14ac:dyDescent="0.4">
      <c r="F109" s="365" t="s">
        <v>23</v>
      </c>
      <c r="G109" s="366">
        <f>SUM(G106:G108)</f>
        <v>19</v>
      </c>
      <c r="H109" s="366">
        <f>SUM(H106:H108)</f>
        <v>428</v>
      </c>
      <c r="I109" s="366">
        <f t="shared" ref="I109:O109" si="27">SUM(I106:I108)</f>
        <v>638</v>
      </c>
      <c r="J109" s="366">
        <f t="shared" si="27"/>
        <v>958</v>
      </c>
      <c r="K109" s="366">
        <f t="shared" si="27"/>
        <v>1127</v>
      </c>
      <c r="L109" s="366">
        <f t="shared" si="27"/>
        <v>1271</v>
      </c>
      <c r="M109" s="366">
        <f t="shared" si="27"/>
        <v>1708</v>
      </c>
      <c r="N109" s="366">
        <f t="shared" si="27"/>
        <v>522</v>
      </c>
      <c r="O109" s="366">
        <f t="shared" si="27"/>
        <v>43</v>
      </c>
      <c r="P109" s="351">
        <f t="shared" si="26"/>
        <v>6714</v>
      </c>
    </row>
    <row r="111" spans="2:16" x14ac:dyDescent="0.4">
      <c r="G111" s="339" t="s">
        <v>218</v>
      </c>
      <c r="H111" s="339" t="s">
        <v>31</v>
      </c>
      <c r="I111" s="339" t="s">
        <v>30</v>
      </c>
      <c r="J111" s="339" t="s">
        <v>29</v>
      </c>
      <c r="K111" s="339" t="s">
        <v>28</v>
      </c>
      <c r="L111" s="339" t="s">
        <v>27</v>
      </c>
      <c r="M111" s="339" t="s">
        <v>26</v>
      </c>
      <c r="N111" s="339" t="s">
        <v>25</v>
      </c>
      <c r="O111" s="339" t="s">
        <v>63</v>
      </c>
    </row>
    <row r="112" spans="2:16" x14ac:dyDescent="0.4">
      <c r="G112" s="367">
        <f>G106/G109</f>
        <v>0.10526315789473684</v>
      </c>
      <c r="H112" s="367">
        <f t="shared" ref="H112:O112" si="28">H106/H109</f>
        <v>3.2710280373831772E-2</v>
      </c>
      <c r="I112" s="367">
        <f t="shared" si="28"/>
        <v>3.4482758620689655E-2</v>
      </c>
      <c r="J112" s="367">
        <f t="shared" si="28"/>
        <v>5.4279749478079335E-2</v>
      </c>
      <c r="K112" s="367">
        <f t="shared" si="28"/>
        <v>7.3646850044365567E-2</v>
      </c>
      <c r="L112" s="367">
        <f t="shared" si="28"/>
        <v>8.1825334382376089E-2</v>
      </c>
      <c r="M112" s="367">
        <f t="shared" si="28"/>
        <v>6.2646370023419204E-2</v>
      </c>
      <c r="N112" s="367">
        <f t="shared" si="28"/>
        <v>5.3639846743295021E-2</v>
      </c>
      <c r="O112" s="367">
        <f t="shared" si="28"/>
        <v>6.9767441860465115E-2</v>
      </c>
    </row>
    <row r="113" spans="2:16" x14ac:dyDescent="0.4">
      <c r="B113" s="341" t="s">
        <v>54</v>
      </c>
      <c r="G113" s="341"/>
    </row>
    <row r="114" spans="2:16" x14ac:dyDescent="0.4">
      <c r="B114" s="341" t="s">
        <v>269</v>
      </c>
    </row>
    <row r="115" spans="2:16" ht="13.5" customHeight="1" x14ac:dyDescent="0.4">
      <c r="D115" s="341" t="s">
        <v>270</v>
      </c>
    </row>
    <row r="116" spans="2:16" x14ac:dyDescent="0.4">
      <c r="C116" s="341" t="s">
        <v>271</v>
      </c>
    </row>
    <row r="117" spans="2:16" x14ac:dyDescent="0.4">
      <c r="G117" s="344" t="s">
        <v>218</v>
      </c>
      <c r="H117" s="339" t="s">
        <v>31</v>
      </c>
      <c r="I117" s="339" t="s">
        <v>30</v>
      </c>
      <c r="J117" s="339" t="s">
        <v>29</v>
      </c>
      <c r="K117" s="339" t="s">
        <v>28</v>
      </c>
      <c r="L117" s="339" t="s">
        <v>27</v>
      </c>
      <c r="M117" s="339" t="s">
        <v>26</v>
      </c>
      <c r="N117" s="339" t="s">
        <v>25</v>
      </c>
      <c r="O117" s="339" t="s">
        <v>63</v>
      </c>
      <c r="P117" s="339" t="s">
        <v>70</v>
      </c>
    </row>
    <row r="118" spans="2:16" x14ac:dyDescent="0.4">
      <c r="F118" s="339" t="s">
        <v>58</v>
      </c>
      <c r="G118" s="371">
        <v>19</v>
      </c>
      <c r="H118" s="372">
        <v>422</v>
      </c>
      <c r="I118" s="372">
        <v>617</v>
      </c>
      <c r="J118" s="372">
        <v>926</v>
      </c>
      <c r="K118" s="372">
        <v>1089</v>
      </c>
      <c r="L118" s="372">
        <v>1194</v>
      </c>
      <c r="M118" s="372">
        <v>1560</v>
      </c>
      <c r="N118" s="372">
        <v>468</v>
      </c>
      <c r="O118" s="372">
        <v>37</v>
      </c>
      <c r="P118" s="373">
        <f>SUM(H118:O118)</f>
        <v>6313</v>
      </c>
    </row>
    <row r="119" spans="2:16" x14ac:dyDescent="0.4">
      <c r="F119" s="339" t="s">
        <v>69</v>
      </c>
      <c r="G119" s="371">
        <v>5</v>
      </c>
      <c r="H119" s="372">
        <v>76</v>
      </c>
      <c r="I119" s="372">
        <v>133</v>
      </c>
      <c r="J119" s="372">
        <v>198</v>
      </c>
      <c r="K119" s="372">
        <v>227</v>
      </c>
      <c r="L119" s="372">
        <v>218</v>
      </c>
      <c r="M119" s="372">
        <v>208</v>
      </c>
      <c r="N119" s="372">
        <v>37</v>
      </c>
      <c r="O119" s="372">
        <v>4</v>
      </c>
      <c r="P119" s="373">
        <f>SUM(H119:O119)</f>
        <v>1101</v>
      </c>
    </row>
    <row r="120" spans="2:16" x14ac:dyDescent="0.4">
      <c r="F120" s="358" t="s">
        <v>68</v>
      </c>
      <c r="G120" s="374">
        <f>G119/G118</f>
        <v>0.26315789473684209</v>
      </c>
      <c r="H120" s="374">
        <f>H119/H118</f>
        <v>0.18009478672985782</v>
      </c>
      <c r="I120" s="374">
        <f t="shared" ref="I120:O120" si="29">I119/I118</f>
        <v>0.21555915721231766</v>
      </c>
      <c r="J120" s="374">
        <f t="shared" si="29"/>
        <v>0.21382289416846653</v>
      </c>
      <c r="K120" s="374">
        <f t="shared" si="29"/>
        <v>0.20844811753902662</v>
      </c>
      <c r="L120" s="374">
        <f t="shared" si="29"/>
        <v>0.18257956448911222</v>
      </c>
      <c r="M120" s="374">
        <f t="shared" si="29"/>
        <v>0.13333333333333333</v>
      </c>
      <c r="N120" s="374">
        <f t="shared" si="29"/>
        <v>7.9059829059829057E-2</v>
      </c>
      <c r="O120" s="374">
        <f t="shared" si="29"/>
        <v>0.10810810810810811</v>
      </c>
      <c r="P120" s="374">
        <f>P119/P118</f>
        <v>0.1744020275621733</v>
      </c>
    </row>
    <row r="121" spans="2:16" x14ac:dyDescent="0.4">
      <c r="F121" s="358"/>
      <c r="G121" s="374"/>
      <c r="H121" s="374"/>
      <c r="I121" s="374"/>
      <c r="J121" s="374"/>
      <c r="K121" s="374"/>
      <c r="L121" s="374"/>
      <c r="M121" s="374"/>
      <c r="N121" s="374"/>
      <c r="O121" s="374"/>
      <c r="P121" s="374"/>
    </row>
    <row r="122" spans="2:16" x14ac:dyDescent="0.4">
      <c r="F122" s="358"/>
      <c r="G122" s="374"/>
      <c r="H122" s="341" t="s">
        <v>272</v>
      </c>
      <c r="J122" s="374"/>
      <c r="K122" s="374"/>
      <c r="L122" s="374"/>
      <c r="M122" s="374"/>
      <c r="N122" s="374"/>
      <c r="O122" s="374"/>
      <c r="P122" s="374"/>
    </row>
    <row r="123" spans="2:16" x14ac:dyDescent="0.4">
      <c r="F123" s="358"/>
      <c r="G123" s="374"/>
      <c r="H123" s="339" t="s">
        <v>58</v>
      </c>
      <c r="I123" s="420">
        <f>SUM(H118:I118)</f>
        <v>1039</v>
      </c>
      <c r="J123" s="374"/>
      <c r="K123" s="374"/>
      <c r="L123" s="374"/>
      <c r="M123" s="374"/>
      <c r="N123" s="374"/>
      <c r="O123" s="374"/>
      <c r="P123" s="374"/>
    </row>
    <row r="124" spans="2:16" x14ac:dyDescent="0.4">
      <c r="F124" s="358"/>
      <c r="G124" s="374"/>
      <c r="H124" s="339" t="s">
        <v>69</v>
      </c>
      <c r="I124" s="420">
        <f>SUM(H119:I119)</f>
        <v>209</v>
      </c>
      <c r="J124" s="374"/>
      <c r="K124" s="374"/>
      <c r="L124" s="374"/>
      <c r="M124" s="374"/>
      <c r="N124" s="374"/>
      <c r="O124" s="374"/>
      <c r="P124" s="374"/>
    </row>
    <row r="125" spans="2:16" x14ac:dyDescent="0.4">
      <c r="F125" s="358"/>
      <c r="G125" s="374"/>
      <c r="H125" s="358" t="s">
        <v>68</v>
      </c>
      <c r="I125" s="374">
        <f>I124/I123</f>
        <v>0.20115495668912417</v>
      </c>
      <c r="J125" s="374"/>
      <c r="K125" s="374"/>
      <c r="L125" s="374"/>
      <c r="M125" s="374"/>
      <c r="N125" s="374"/>
      <c r="O125" s="374"/>
      <c r="P125" s="374"/>
    </row>
    <row r="126" spans="2:16" x14ac:dyDescent="0.4">
      <c r="I126" s="414"/>
    </row>
    <row r="127" spans="2:16" x14ac:dyDescent="0.4">
      <c r="B127" s="341" t="s">
        <v>310</v>
      </c>
      <c r="I127" s="415"/>
      <c r="P127" s="342" t="s">
        <v>32</v>
      </c>
    </row>
    <row r="128" spans="2:16" x14ac:dyDescent="0.4">
      <c r="P128" s="342"/>
    </row>
    <row r="129" spans="2:16" ht="16.5" customHeight="1" x14ac:dyDescent="0.4">
      <c r="B129" s="376"/>
      <c r="D129" s="368"/>
      <c r="F129" s="346"/>
      <c r="G129" s="347" t="s">
        <v>218</v>
      </c>
      <c r="H129" s="348" t="s">
        <v>31</v>
      </c>
      <c r="I129" s="349" t="s">
        <v>30</v>
      </c>
      <c r="J129" s="349" t="s">
        <v>29</v>
      </c>
      <c r="K129" s="349" t="s">
        <v>28</v>
      </c>
      <c r="L129" s="349" t="s">
        <v>27</v>
      </c>
      <c r="M129" s="349" t="s">
        <v>26</v>
      </c>
      <c r="N129" s="350" t="s">
        <v>25</v>
      </c>
      <c r="O129" s="348" t="s">
        <v>24</v>
      </c>
      <c r="P129" s="349" t="s">
        <v>23</v>
      </c>
    </row>
    <row r="130" spans="2:16" x14ac:dyDescent="0.4">
      <c r="C130" s="375" t="s">
        <v>66</v>
      </c>
      <c r="D130" s="368"/>
      <c r="F130" s="347">
        <v>1</v>
      </c>
      <c r="G130" s="335">
        <v>19</v>
      </c>
      <c r="H130" s="336">
        <v>391</v>
      </c>
      <c r="I130" s="337">
        <v>563</v>
      </c>
      <c r="J130" s="337">
        <v>796</v>
      </c>
      <c r="K130" s="337">
        <v>837</v>
      </c>
      <c r="L130" s="337">
        <v>825</v>
      </c>
      <c r="M130" s="337">
        <v>1059</v>
      </c>
      <c r="N130" s="338">
        <v>328</v>
      </c>
      <c r="O130" s="336">
        <v>29</v>
      </c>
      <c r="P130" s="351">
        <f t="shared" ref="P130:P134" si="30">SUM(G130:O130)</f>
        <v>4847</v>
      </c>
    </row>
    <row r="131" spans="2:16" x14ac:dyDescent="0.4">
      <c r="C131" s="375" t="s">
        <v>65</v>
      </c>
      <c r="D131" s="368"/>
      <c r="F131" s="347">
        <v>2</v>
      </c>
      <c r="G131" s="335">
        <v>0</v>
      </c>
      <c r="H131" s="336">
        <v>32</v>
      </c>
      <c r="I131" s="337">
        <v>64</v>
      </c>
      <c r="J131" s="337">
        <v>138</v>
      </c>
      <c r="K131" s="337">
        <v>266</v>
      </c>
      <c r="L131" s="337">
        <v>388</v>
      </c>
      <c r="M131" s="337">
        <v>543</v>
      </c>
      <c r="N131" s="338">
        <v>161</v>
      </c>
      <c r="O131" s="336">
        <v>11</v>
      </c>
      <c r="P131" s="351">
        <f t="shared" si="30"/>
        <v>1603</v>
      </c>
    </row>
    <row r="132" spans="2:16" x14ac:dyDescent="0.4">
      <c r="C132" s="375" t="s">
        <v>64</v>
      </c>
      <c r="D132" s="368"/>
      <c r="F132" s="360">
        <v>3</v>
      </c>
      <c r="G132" s="335">
        <v>0</v>
      </c>
      <c r="H132" s="361">
        <v>1</v>
      </c>
      <c r="I132" s="362">
        <v>3</v>
      </c>
      <c r="J132" s="362">
        <v>2</v>
      </c>
      <c r="K132" s="362">
        <v>5</v>
      </c>
      <c r="L132" s="362">
        <v>19</v>
      </c>
      <c r="M132" s="362">
        <v>25</v>
      </c>
      <c r="N132" s="363">
        <v>11</v>
      </c>
      <c r="O132" s="336">
        <v>1</v>
      </c>
      <c r="P132" s="351">
        <f t="shared" si="30"/>
        <v>67</v>
      </c>
    </row>
    <row r="133" spans="2:16" x14ac:dyDescent="0.4">
      <c r="C133" s="369" t="s">
        <v>18</v>
      </c>
      <c r="D133" s="368"/>
      <c r="F133" s="364" t="s">
        <v>18</v>
      </c>
      <c r="G133" s="335">
        <v>0</v>
      </c>
      <c r="H133" s="361">
        <v>4</v>
      </c>
      <c r="I133" s="362">
        <v>8</v>
      </c>
      <c r="J133" s="362">
        <v>22</v>
      </c>
      <c r="K133" s="362">
        <v>19</v>
      </c>
      <c r="L133" s="362">
        <v>39</v>
      </c>
      <c r="M133" s="362">
        <v>81</v>
      </c>
      <c r="N133" s="363">
        <v>22</v>
      </c>
      <c r="O133" s="336">
        <v>2</v>
      </c>
      <c r="P133" s="351">
        <f t="shared" si="30"/>
        <v>197</v>
      </c>
    </row>
    <row r="134" spans="2:16" x14ac:dyDescent="0.4">
      <c r="F134" s="365" t="s">
        <v>23</v>
      </c>
      <c r="G134" s="366">
        <f>SUM(G130:G133)</f>
        <v>19</v>
      </c>
      <c r="H134" s="366">
        <f>SUM(H130:H133)</f>
        <v>428</v>
      </c>
      <c r="I134" s="366">
        <f t="shared" ref="I134:O134" si="31">SUM(I130:I133)</f>
        <v>638</v>
      </c>
      <c r="J134" s="366">
        <f t="shared" si="31"/>
        <v>958</v>
      </c>
      <c r="K134" s="366">
        <f t="shared" si="31"/>
        <v>1127</v>
      </c>
      <c r="L134" s="366">
        <f t="shared" si="31"/>
        <v>1271</v>
      </c>
      <c r="M134" s="366">
        <f t="shared" si="31"/>
        <v>1708</v>
      </c>
      <c r="N134" s="366">
        <f t="shared" si="31"/>
        <v>522</v>
      </c>
      <c r="O134" s="366">
        <f t="shared" si="31"/>
        <v>43</v>
      </c>
      <c r="P134" s="351">
        <f t="shared" si="30"/>
        <v>6714</v>
      </c>
    </row>
    <row r="135" spans="2:16" x14ac:dyDescent="0.4">
      <c r="C135" s="376" t="s">
        <v>22</v>
      </c>
      <c r="F135" s="344"/>
      <c r="G135" s="344"/>
      <c r="H135" s="412"/>
      <c r="I135" s="412"/>
      <c r="J135" s="412"/>
      <c r="K135" s="412"/>
      <c r="L135" s="412"/>
      <c r="M135" s="412"/>
      <c r="N135" s="412"/>
      <c r="O135" s="412"/>
      <c r="P135" s="412"/>
    </row>
    <row r="136" spans="2:16" x14ac:dyDescent="0.4">
      <c r="C136" s="375" t="s">
        <v>66</v>
      </c>
      <c r="F136" s="377">
        <f>P130/$P$134</f>
        <v>0.7219243372058386</v>
      </c>
      <c r="G136" s="416"/>
      <c r="H136" s="412"/>
      <c r="I136" s="412"/>
      <c r="J136" s="412"/>
      <c r="K136" s="412"/>
      <c r="L136" s="412"/>
      <c r="M136" s="412"/>
      <c r="N136" s="412"/>
      <c r="O136" s="412"/>
      <c r="P136" s="412"/>
    </row>
    <row r="137" spans="2:16" x14ac:dyDescent="0.4">
      <c r="C137" s="375" t="s">
        <v>65</v>
      </c>
      <c r="F137" s="377">
        <f>P131/$P$134</f>
        <v>0.23875484063151622</v>
      </c>
      <c r="G137" s="416"/>
      <c r="H137" s="412"/>
      <c r="I137" s="412"/>
      <c r="J137" s="412"/>
      <c r="K137" s="412"/>
      <c r="L137" s="412"/>
      <c r="M137" s="412"/>
      <c r="N137" s="412"/>
      <c r="O137" s="412"/>
      <c r="P137" s="412"/>
    </row>
    <row r="138" spans="2:16" x14ac:dyDescent="0.4">
      <c r="C138" s="375" t="s">
        <v>64</v>
      </c>
      <c r="F138" s="377">
        <f>P132/$P$134</f>
        <v>9.9791480488531422E-3</v>
      </c>
      <c r="G138" s="416"/>
      <c r="H138" s="412"/>
      <c r="I138" s="412"/>
      <c r="J138" s="412"/>
      <c r="K138" s="412"/>
      <c r="L138" s="412"/>
      <c r="M138" s="412"/>
      <c r="N138" s="412"/>
      <c r="O138" s="412"/>
      <c r="P138" s="412"/>
    </row>
    <row r="139" spans="2:16" x14ac:dyDescent="0.4">
      <c r="C139" s="369" t="s">
        <v>18</v>
      </c>
      <c r="F139" s="377">
        <f>P133/$P$134</f>
        <v>2.9341674113792075E-2</v>
      </c>
      <c r="G139" s="416"/>
      <c r="H139" s="412"/>
      <c r="I139" s="412"/>
      <c r="J139" s="412"/>
      <c r="K139" s="412"/>
      <c r="L139" s="412"/>
      <c r="M139" s="412"/>
      <c r="N139" s="412"/>
      <c r="O139" s="412"/>
      <c r="P139" s="412"/>
    </row>
    <row r="141" spans="2:16" x14ac:dyDescent="0.4">
      <c r="B141" s="341" t="s">
        <v>54</v>
      </c>
      <c r="G141" s="339" t="s">
        <v>218</v>
      </c>
      <c r="H141" s="339" t="s">
        <v>31</v>
      </c>
      <c r="I141" s="339" t="s">
        <v>30</v>
      </c>
      <c r="J141" s="339" t="s">
        <v>29</v>
      </c>
      <c r="K141" s="339" t="s">
        <v>28</v>
      </c>
      <c r="L141" s="339" t="s">
        <v>27</v>
      </c>
      <c r="M141" s="339" t="s">
        <v>26</v>
      </c>
      <c r="N141" s="339" t="s">
        <v>25</v>
      </c>
      <c r="O141" s="339" t="s">
        <v>63</v>
      </c>
    </row>
    <row r="142" spans="2:16" x14ac:dyDescent="0.4">
      <c r="B142" s="341" t="s">
        <v>62</v>
      </c>
      <c r="G142" s="367">
        <f>G130/G134</f>
        <v>1</v>
      </c>
      <c r="H142" s="367">
        <f>H130/H134</f>
        <v>0.91355140186915884</v>
      </c>
      <c r="I142" s="367">
        <f t="shared" ref="I142:O142" si="32">I130/I134</f>
        <v>0.88244514106583072</v>
      </c>
      <c r="J142" s="367">
        <f t="shared" si="32"/>
        <v>0.83089770354906056</v>
      </c>
      <c r="K142" s="367">
        <f t="shared" si="32"/>
        <v>0.74267968056787936</v>
      </c>
      <c r="L142" s="367">
        <f>L130/L134</f>
        <v>0.64909520062942561</v>
      </c>
      <c r="M142" s="367">
        <f t="shared" si="32"/>
        <v>0.62002341920374704</v>
      </c>
      <c r="N142" s="367">
        <f t="shared" si="32"/>
        <v>0.62835249042145591</v>
      </c>
      <c r="O142" s="367">
        <f t="shared" si="32"/>
        <v>0.67441860465116277</v>
      </c>
    </row>
    <row r="143" spans="2:16" x14ac:dyDescent="0.4">
      <c r="D143" s="341" t="s">
        <v>273</v>
      </c>
    </row>
    <row r="144" spans="2:16" x14ac:dyDescent="0.4">
      <c r="B144" s="341" t="s">
        <v>295</v>
      </c>
      <c r="H144" s="341" t="s">
        <v>296</v>
      </c>
    </row>
    <row r="145" spans="2:16" x14ac:dyDescent="0.4">
      <c r="D145" s="341" t="s">
        <v>294</v>
      </c>
      <c r="H145" s="368">
        <v>0.63200000000000001</v>
      </c>
    </row>
    <row r="148" spans="2:16" x14ac:dyDescent="0.4">
      <c r="B148" s="341" t="s">
        <v>274</v>
      </c>
      <c r="P148" s="342" t="s">
        <v>59</v>
      </c>
    </row>
    <row r="149" spans="2:16" ht="14.25" customHeight="1" x14ac:dyDescent="0.4">
      <c r="B149" s="341" t="s">
        <v>311</v>
      </c>
    </row>
    <row r="150" spans="2:16" ht="17.25" customHeight="1" x14ac:dyDescent="0.4">
      <c r="F150" s="346"/>
      <c r="G150" s="347" t="s">
        <v>218</v>
      </c>
      <c r="H150" s="348" t="s">
        <v>31</v>
      </c>
      <c r="I150" s="349" t="s">
        <v>30</v>
      </c>
      <c r="J150" s="349" t="s">
        <v>29</v>
      </c>
      <c r="K150" s="349" t="s">
        <v>28</v>
      </c>
      <c r="L150" s="349" t="s">
        <v>27</v>
      </c>
      <c r="M150" s="349" t="s">
        <v>26</v>
      </c>
      <c r="N150" s="350" t="s">
        <v>25</v>
      </c>
      <c r="O150" s="348" t="s">
        <v>24</v>
      </c>
      <c r="P150" s="349" t="s">
        <v>23</v>
      </c>
    </row>
    <row r="151" spans="2:16" ht="14.25" customHeight="1" x14ac:dyDescent="0.4">
      <c r="F151" s="378" t="s">
        <v>58</v>
      </c>
      <c r="G151" s="335">
        <v>19</v>
      </c>
      <c r="H151" s="336">
        <v>399</v>
      </c>
      <c r="I151" s="337">
        <v>597</v>
      </c>
      <c r="J151" s="337">
        <v>875</v>
      </c>
      <c r="K151" s="337">
        <v>1017</v>
      </c>
      <c r="L151" s="337">
        <v>1132</v>
      </c>
      <c r="M151" s="337">
        <v>1525</v>
      </c>
      <c r="N151" s="338">
        <v>457</v>
      </c>
      <c r="O151" s="336">
        <v>34</v>
      </c>
      <c r="P151" s="351">
        <f t="shared" ref="P151:P152" si="33">SUM(G151:O151)</f>
        <v>6055</v>
      </c>
    </row>
    <row r="152" spans="2:16" x14ac:dyDescent="0.4">
      <c r="F152" s="364" t="s">
        <v>18</v>
      </c>
      <c r="G152" s="335">
        <v>0</v>
      </c>
      <c r="H152" s="379">
        <v>29</v>
      </c>
      <c r="I152" s="380">
        <v>41</v>
      </c>
      <c r="J152" s="380">
        <v>83</v>
      </c>
      <c r="K152" s="380">
        <v>110</v>
      </c>
      <c r="L152" s="380">
        <v>139</v>
      </c>
      <c r="M152" s="380">
        <v>183</v>
      </c>
      <c r="N152" s="381">
        <v>65</v>
      </c>
      <c r="O152" s="379">
        <v>9</v>
      </c>
      <c r="P152" s="351">
        <f t="shared" si="33"/>
        <v>659</v>
      </c>
    </row>
    <row r="153" spans="2:16" x14ac:dyDescent="0.4">
      <c r="F153" s="365" t="s">
        <v>23</v>
      </c>
      <c r="G153" s="382">
        <f>SUM(G151:G152)</f>
        <v>19</v>
      </c>
      <c r="H153" s="382">
        <f t="shared" ref="H153:O153" si="34">SUM(H151:H152)</f>
        <v>428</v>
      </c>
      <c r="I153" s="382">
        <f t="shared" si="34"/>
        <v>638</v>
      </c>
      <c r="J153" s="382">
        <f t="shared" si="34"/>
        <v>958</v>
      </c>
      <c r="K153" s="382">
        <f t="shared" si="34"/>
        <v>1127</v>
      </c>
      <c r="L153" s="382">
        <f t="shared" si="34"/>
        <v>1271</v>
      </c>
      <c r="M153" s="382">
        <f t="shared" si="34"/>
        <v>1708</v>
      </c>
      <c r="N153" s="382">
        <f t="shared" si="34"/>
        <v>522</v>
      </c>
      <c r="O153" s="382">
        <f t="shared" si="34"/>
        <v>43</v>
      </c>
      <c r="P153" s="351">
        <f>SUM(G153:O153)</f>
        <v>6714</v>
      </c>
    </row>
    <row r="154" spans="2:16" x14ac:dyDescent="0.4">
      <c r="F154" s="378" t="s">
        <v>57</v>
      </c>
      <c r="G154" s="335">
        <v>25</v>
      </c>
      <c r="H154" s="336">
        <v>20</v>
      </c>
      <c r="I154" s="337">
        <v>0</v>
      </c>
      <c r="J154" s="337">
        <v>0</v>
      </c>
      <c r="K154" s="337">
        <v>0</v>
      </c>
      <c r="L154" s="337">
        <v>0</v>
      </c>
      <c r="M154" s="337">
        <v>0</v>
      </c>
      <c r="N154" s="338">
        <v>0</v>
      </c>
      <c r="O154" s="336">
        <v>0</v>
      </c>
      <c r="P154" s="383"/>
    </row>
    <row r="155" spans="2:16" x14ac:dyDescent="0.4">
      <c r="F155" s="384" t="s">
        <v>56</v>
      </c>
      <c r="G155" s="335">
        <v>28</v>
      </c>
      <c r="H155" s="361">
        <v>28</v>
      </c>
      <c r="I155" s="362">
        <v>28</v>
      </c>
      <c r="J155" s="362">
        <v>28</v>
      </c>
      <c r="K155" s="362">
        <v>28</v>
      </c>
      <c r="L155" s="362">
        <v>28</v>
      </c>
      <c r="M155" s="362">
        <v>28</v>
      </c>
      <c r="N155" s="363">
        <v>28</v>
      </c>
      <c r="O155" s="336">
        <v>28</v>
      </c>
      <c r="P155" s="385"/>
    </row>
    <row r="156" spans="2:16" x14ac:dyDescent="0.4">
      <c r="F156" s="384" t="s">
        <v>55</v>
      </c>
      <c r="G156" s="386">
        <v>27.578947368421051</v>
      </c>
      <c r="H156" s="386">
        <v>27.533834586466167</v>
      </c>
      <c r="I156" s="387">
        <v>27.219430485762143</v>
      </c>
      <c r="J156" s="387">
        <v>26.515428571428572</v>
      </c>
      <c r="K156" s="387">
        <v>24.654867256637168</v>
      </c>
      <c r="L156" s="387">
        <v>20.732332155477032</v>
      </c>
      <c r="M156" s="387">
        <v>16.790819672131146</v>
      </c>
      <c r="N156" s="388">
        <v>13.579868708971553</v>
      </c>
      <c r="O156" s="389">
        <v>9.0588235294117645</v>
      </c>
      <c r="P156" s="385"/>
    </row>
    <row r="157" spans="2:16" x14ac:dyDescent="0.4">
      <c r="B157" s="341" t="s">
        <v>54</v>
      </c>
    </row>
    <row r="158" spans="2:16" x14ac:dyDescent="0.4">
      <c r="B158" s="341" t="s">
        <v>275</v>
      </c>
    </row>
    <row r="159" spans="2:16" x14ac:dyDescent="0.4">
      <c r="D159" s="341" t="s">
        <v>276</v>
      </c>
      <c r="H159" s="341" t="s">
        <v>51</v>
      </c>
      <c r="K159" s="341" t="s">
        <v>50</v>
      </c>
    </row>
    <row r="160" spans="2:16" x14ac:dyDescent="0.4">
      <c r="B160" s="341" t="s">
        <v>277</v>
      </c>
      <c r="H160" s="341" t="s">
        <v>48</v>
      </c>
      <c r="I160" s="390">
        <v>1030</v>
      </c>
      <c r="K160" s="341" t="s">
        <v>48</v>
      </c>
      <c r="L160" s="390">
        <v>1033</v>
      </c>
    </row>
    <row r="161" spans="2:17" x14ac:dyDescent="0.4">
      <c r="D161" s="341" t="s">
        <v>278</v>
      </c>
      <c r="H161" s="341" t="s">
        <v>46</v>
      </c>
      <c r="I161" s="372">
        <v>23660</v>
      </c>
      <c r="K161" s="341" t="s">
        <v>46</v>
      </c>
      <c r="L161" s="372">
        <v>15390</v>
      </c>
    </row>
    <row r="162" spans="2:17" x14ac:dyDescent="0.4">
      <c r="H162" s="341" t="s">
        <v>45</v>
      </c>
      <c r="I162" s="391">
        <v>22.970873786407768</v>
      </c>
      <c r="K162" s="341" t="s">
        <v>45</v>
      </c>
      <c r="L162" s="391">
        <v>14.89835430784124</v>
      </c>
    </row>
    <row r="163" spans="2:17" x14ac:dyDescent="0.4">
      <c r="H163" s="341" t="s">
        <v>44</v>
      </c>
      <c r="I163" s="390">
        <v>697</v>
      </c>
      <c r="K163" s="341" t="s">
        <v>44</v>
      </c>
      <c r="L163" s="390">
        <v>446</v>
      </c>
    </row>
    <row r="164" spans="2:17" x14ac:dyDescent="0.4">
      <c r="H164" s="341" t="s">
        <v>43</v>
      </c>
      <c r="I164" s="394">
        <f>I163/I160</f>
        <v>0.6766990291262136</v>
      </c>
      <c r="K164" s="341" t="s">
        <v>43</v>
      </c>
      <c r="L164" s="394">
        <f>L163/L160</f>
        <v>0.43175217812197481</v>
      </c>
    </row>
    <row r="165" spans="2:17" x14ac:dyDescent="0.4">
      <c r="H165" s="417"/>
      <c r="K165" s="417"/>
    </row>
    <row r="166" spans="2:17" x14ac:dyDescent="0.4">
      <c r="H166" s="417"/>
      <c r="K166" s="417"/>
    </row>
    <row r="167" spans="2:17" x14ac:dyDescent="0.4">
      <c r="B167" s="341" t="s">
        <v>279</v>
      </c>
      <c r="P167" s="342" t="s">
        <v>32</v>
      </c>
    </row>
    <row r="168" spans="2:17" x14ac:dyDescent="0.4">
      <c r="P168" s="342"/>
    </row>
    <row r="169" spans="2:17" ht="18" customHeight="1" x14ac:dyDescent="0.4">
      <c r="F169" s="346"/>
      <c r="G169" s="347" t="s">
        <v>218</v>
      </c>
      <c r="H169" s="348" t="s">
        <v>31</v>
      </c>
      <c r="I169" s="349" t="s">
        <v>30</v>
      </c>
      <c r="J169" s="349" t="s">
        <v>29</v>
      </c>
      <c r="K169" s="349" t="s">
        <v>28</v>
      </c>
      <c r="L169" s="349" t="s">
        <v>27</v>
      </c>
      <c r="M169" s="349" t="s">
        <v>26</v>
      </c>
      <c r="N169" s="350" t="s">
        <v>25</v>
      </c>
      <c r="O169" s="348" t="s">
        <v>24</v>
      </c>
      <c r="P169" s="349" t="s">
        <v>23</v>
      </c>
    </row>
    <row r="170" spans="2:17" x14ac:dyDescent="0.4">
      <c r="C170" s="341" t="s">
        <v>38</v>
      </c>
      <c r="F170" s="347">
        <v>1</v>
      </c>
      <c r="G170" s="335">
        <v>0</v>
      </c>
      <c r="H170" s="336">
        <v>90</v>
      </c>
      <c r="I170" s="337">
        <v>129</v>
      </c>
      <c r="J170" s="337">
        <v>215</v>
      </c>
      <c r="K170" s="337">
        <v>250</v>
      </c>
      <c r="L170" s="337">
        <v>181</v>
      </c>
      <c r="M170" s="337">
        <v>129</v>
      </c>
      <c r="N170" s="338">
        <v>19</v>
      </c>
      <c r="O170" s="336">
        <v>1</v>
      </c>
      <c r="P170" s="351">
        <f t="shared" ref="P170:P174" si="35">SUM(G170:O170)</f>
        <v>1014</v>
      </c>
    </row>
    <row r="171" spans="2:17" x14ac:dyDescent="0.4">
      <c r="C171" s="341" t="s">
        <v>41</v>
      </c>
      <c r="F171" s="347">
        <v>2</v>
      </c>
      <c r="G171" s="335">
        <v>0</v>
      </c>
      <c r="H171" s="336">
        <v>29</v>
      </c>
      <c r="I171" s="337">
        <v>79</v>
      </c>
      <c r="J171" s="337">
        <v>255</v>
      </c>
      <c r="K171" s="337">
        <v>345</v>
      </c>
      <c r="L171" s="337">
        <v>396</v>
      </c>
      <c r="M171" s="337">
        <v>524</v>
      </c>
      <c r="N171" s="338">
        <v>129</v>
      </c>
      <c r="O171" s="336">
        <v>4</v>
      </c>
      <c r="P171" s="351">
        <f t="shared" si="35"/>
        <v>1761</v>
      </c>
    </row>
    <row r="172" spans="2:17" x14ac:dyDescent="0.4">
      <c r="C172" s="341" t="s">
        <v>40</v>
      </c>
      <c r="F172" s="347">
        <v>3</v>
      </c>
      <c r="G172" s="335">
        <v>19</v>
      </c>
      <c r="H172" s="336">
        <v>303</v>
      </c>
      <c r="I172" s="337">
        <v>416</v>
      </c>
      <c r="J172" s="337">
        <v>449</v>
      </c>
      <c r="K172" s="337">
        <v>477</v>
      </c>
      <c r="L172" s="337">
        <v>603</v>
      </c>
      <c r="M172" s="337">
        <v>944</v>
      </c>
      <c r="N172" s="338">
        <v>337</v>
      </c>
      <c r="O172" s="336">
        <v>33</v>
      </c>
      <c r="P172" s="351">
        <f t="shared" si="35"/>
        <v>3581</v>
      </c>
    </row>
    <row r="173" spans="2:17" x14ac:dyDescent="0.4">
      <c r="F173" s="364" t="s">
        <v>18</v>
      </c>
      <c r="G173" s="335">
        <v>0</v>
      </c>
      <c r="H173" s="361">
        <v>6</v>
      </c>
      <c r="I173" s="362">
        <v>14</v>
      </c>
      <c r="J173" s="362">
        <v>39</v>
      </c>
      <c r="K173" s="362">
        <v>55</v>
      </c>
      <c r="L173" s="362">
        <v>91</v>
      </c>
      <c r="M173" s="362">
        <v>111</v>
      </c>
      <c r="N173" s="363">
        <v>37</v>
      </c>
      <c r="O173" s="336">
        <v>5</v>
      </c>
      <c r="P173" s="351">
        <f t="shared" si="35"/>
        <v>358</v>
      </c>
    </row>
    <row r="174" spans="2:17" x14ac:dyDescent="0.4">
      <c r="F174" s="365" t="s">
        <v>23</v>
      </c>
      <c r="G174" s="366">
        <f>SUM(G170:G173)</f>
        <v>19</v>
      </c>
      <c r="H174" s="366">
        <f>SUM(H170:H173)</f>
        <v>428</v>
      </c>
      <c r="I174" s="366">
        <f t="shared" ref="I174:O174" si="36">SUM(I170:I173)</f>
        <v>638</v>
      </c>
      <c r="J174" s="366">
        <f t="shared" si="36"/>
        <v>958</v>
      </c>
      <c r="K174" s="366">
        <f t="shared" si="36"/>
        <v>1127</v>
      </c>
      <c r="L174" s="366">
        <f t="shared" si="36"/>
        <v>1271</v>
      </c>
      <c r="M174" s="366">
        <f t="shared" si="36"/>
        <v>1708</v>
      </c>
      <c r="N174" s="366">
        <f t="shared" si="36"/>
        <v>522</v>
      </c>
      <c r="O174" s="366">
        <f t="shared" si="36"/>
        <v>43</v>
      </c>
      <c r="P174" s="351">
        <f t="shared" si="35"/>
        <v>6714</v>
      </c>
      <c r="Q174" s="353"/>
    </row>
    <row r="175" spans="2:17" x14ac:dyDescent="0.4">
      <c r="C175" s="341" t="s">
        <v>22</v>
      </c>
      <c r="F175" s="392" t="s">
        <v>39</v>
      </c>
      <c r="G175" s="356">
        <f>G170/G174</f>
        <v>0</v>
      </c>
      <c r="H175" s="356">
        <f>H170/H174</f>
        <v>0.2102803738317757</v>
      </c>
      <c r="I175" s="356">
        <f>I170/I174</f>
        <v>0.20219435736677116</v>
      </c>
      <c r="J175" s="356">
        <f>J170/J174</f>
        <v>0.22442588726513571</v>
      </c>
      <c r="K175" s="356">
        <f t="shared" ref="K175:N175" si="37">K170/K174</f>
        <v>0.22182786157941436</v>
      </c>
      <c r="L175" s="356">
        <f t="shared" si="37"/>
        <v>0.14240755310778913</v>
      </c>
      <c r="M175" s="356">
        <f t="shared" si="37"/>
        <v>7.5526932084309134E-2</v>
      </c>
      <c r="N175" s="356">
        <f t="shared" si="37"/>
        <v>3.6398467432950193E-2</v>
      </c>
      <c r="O175" s="356">
        <f>O170/O174</f>
        <v>2.3255813953488372E-2</v>
      </c>
      <c r="P175" s="393"/>
    </row>
    <row r="176" spans="2:17" x14ac:dyDescent="0.4">
      <c r="C176" s="341" t="s">
        <v>38</v>
      </c>
      <c r="D176" s="368">
        <f>P170/$P$174</f>
        <v>0.15102770330652368</v>
      </c>
      <c r="J176" s="411"/>
    </row>
    <row r="177" spans="2:16" x14ac:dyDescent="0.4">
      <c r="C177" s="376" t="s">
        <v>280</v>
      </c>
      <c r="D177" s="368">
        <f>P171/$P$174</f>
        <v>0.26228775692582662</v>
      </c>
    </row>
    <row r="178" spans="2:16" x14ac:dyDescent="0.4">
      <c r="C178" s="341" t="s">
        <v>36</v>
      </c>
      <c r="D178" s="368">
        <f>P172/$P$174</f>
        <v>0.5333631218349717</v>
      </c>
      <c r="K178" s="353"/>
    </row>
    <row r="179" spans="2:16" x14ac:dyDescent="0.4">
      <c r="C179" s="369" t="s">
        <v>18</v>
      </c>
      <c r="D179" s="368">
        <f>P173/$P$174</f>
        <v>5.3321417932677986E-2</v>
      </c>
    </row>
    <row r="181" spans="2:16" x14ac:dyDescent="0.4">
      <c r="B181" s="341" t="s">
        <v>281</v>
      </c>
      <c r="P181" s="342" t="s">
        <v>32</v>
      </c>
    </row>
    <row r="183" spans="2:16" ht="18" customHeight="1" x14ac:dyDescent="0.4">
      <c r="F183" s="346"/>
      <c r="G183" s="347" t="s">
        <v>218</v>
      </c>
      <c r="H183" s="348" t="s">
        <v>31</v>
      </c>
      <c r="I183" s="349" t="s">
        <v>30</v>
      </c>
      <c r="J183" s="349" t="s">
        <v>29</v>
      </c>
      <c r="K183" s="349" t="s">
        <v>28</v>
      </c>
      <c r="L183" s="349" t="s">
        <v>27</v>
      </c>
      <c r="M183" s="349" t="s">
        <v>26</v>
      </c>
      <c r="N183" s="350" t="s">
        <v>25</v>
      </c>
      <c r="O183" s="348" t="s">
        <v>24</v>
      </c>
      <c r="P183" s="349" t="s">
        <v>23</v>
      </c>
    </row>
    <row r="184" spans="2:16" x14ac:dyDescent="0.4">
      <c r="C184" s="341" t="s">
        <v>21</v>
      </c>
      <c r="F184" s="347">
        <v>1</v>
      </c>
      <c r="G184" s="335">
        <v>16</v>
      </c>
      <c r="H184" s="336">
        <v>219</v>
      </c>
      <c r="I184" s="337">
        <v>346</v>
      </c>
      <c r="J184" s="337">
        <v>384</v>
      </c>
      <c r="K184" s="337">
        <v>410</v>
      </c>
      <c r="L184" s="337">
        <v>391</v>
      </c>
      <c r="M184" s="337">
        <v>538</v>
      </c>
      <c r="N184" s="338">
        <v>206</v>
      </c>
      <c r="O184" s="336">
        <v>20</v>
      </c>
      <c r="P184" s="351">
        <f t="shared" ref="P184:P188" si="38">SUM(G184:O184)</f>
        <v>2530</v>
      </c>
    </row>
    <row r="185" spans="2:16" x14ac:dyDescent="0.4">
      <c r="C185" s="341" t="s">
        <v>20</v>
      </c>
      <c r="F185" s="347">
        <v>2</v>
      </c>
      <c r="G185" s="335">
        <v>1</v>
      </c>
      <c r="H185" s="336">
        <v>106</v>
      </c>
      <c r="I185" s="337">
        <v>143</v>
      </c>
      <c r="J185" s="337">
        <v>212</v>
      </c>
      <c r="K185" s="337">
        <v>252</v>
      </c>
      <c r="L185" s="337">
        <v>256</v>
      </c>
      <c r="M185" s="337">
        <v>357</v>
      </c>
      <c r="N185" s="338">
        <v>90</v>
      </c>
      <c r="O185" s="336">
        <v>6</v>
      </c>
      <c r="P185" s="351">
        <f t="shared" si="38"/>
        <v>1423</v>
      </c>
    </row>
    <row r="186" spans="2:16" x14ac:dyDescent="0.4">
      <c r="C186" s="341" t="s">
        <v>19</v>
      </c>
      <c r="F186" s="360">
        <v>3</v>
      </c>
      <c r="G186" s="335">
        <v>2</v>
      </c>
      <c r="H186" s="361">
        <v>98</v>
      </c>
      <c r="I186" s="362">
        <v>134</v>
      </c>
      <c r="J186" s="362">
        <v>316</v>
      </c>
      <c r="K186" s="362">
        <v>405</v>
      </c>
      <c r="L186" s="362">
        <v>525</v>
      </c>
      <c r="M186" s="362">
        <v>654</v>
      </c>
      <c r="N186" s="363">
        <v>171</v>
      </c>
      <c r="O186" s="336">
        <v>9</v>
      </c>
      <c r="P186" s="351">
        <f t="shared" si="38"/>
        <v>2314</v>
      </c>
    </row>
    <row r="187" spans="2:16" x14ac:dyDescent="0.4">
      <c r="F187" s="364" t="s">
        <v>18</v>
      </c>
      <c r="G187" s="335">
        <v>0</v>
      </c>
      <c r="H187" s="361">
        <v>5</v>
      </c>
      <c r="I187" s="362">
        <v>15</v>
      </c>
      <c r="J187" s="362">
        <v>46</v>
      </c>
      <c r="K187" s="362">
        <v>60</v>
      </c>
      <c r="L187" s="362">
        <v>99</v>
      </c>
      <c r="M187" s="362">
        <v>159</v>
      </c>
      <c r="N187" s="363">
        <v>55</v>
      </c>
      <c r="O187" s="336">
        <v>8</v>
      </c>
      <c r="P187" s="351">
        <f t="shared" si="38"/>
        <v>447</v>
      </c>
    </row>
    <row r="188" spans="2:16" x14ac:dyDescent="0.4">
      <c r="F188" s="365" t="s">
        <v>23</v>
      </c>
      <c r="G188" s="366">
        <f>SUM(G184:G187)</f>
        <v>19</v>
      </c>
      <c r="H188" s="366">
        <f>SUM(H184:H187)</f>
        <v>428</v>
      </c>
      <c r="I188" s="366">
        <f t="shared" ref="I188:O188" si="39">SUM(I184:I187)</f>
        <v>638</v>
      </c>
      <c r="J188" s="366">
        <f t="shared" si="39"/>
        <v>958</v>
      </c>
      <c r="K188" s="366">
        <f t="shared" si="39"/>
        <v>1127</v>
      </c>
      <c r="L188" s="366">
        <f t="shared" si="39"/>
        <v>1271</v>
      </c>
      <c r="M188" s="366">
        <f t="shared" si="39"/>
        <v>1708</v>
      </c>
      <c r="N188" s="366">
        <f t="shared" si="39"/>
        <v>522</v>
      </c>
      <c r="O188" s="366">
        <f t="shared" si="39"/>
        <v>43</v>
      </c>
      <c r="P188" s="351">
        <f t="shared" si="38"/>
        <v>6714</v>
      </c>
    </row>
    <row r="189" spans="2:16" x14ac:dyDescent="0.4">
      <c r="C189" s="341" t="s">
        <v>22</v>
      </c>
    </row>
    <row r="190" spans="2:16" x14ac:dyDescent="0.4">
      <c r="C190" s="341" t="s">
        <v>21</v>
      </c>
      <c r="E190" s="368">
        <f>P184/$P$188</f>
        <v>0.37682454572535001</v>
      </c>
    </row>
    <row r="191" spans="2:16" x14ac:dyDescent="0.4">
      <c r="C191" s="341" t="s">
        <v>20</v>
      </c>
      <c r="E191" s="368">
        <f>P185/$P$188</f>
        <v>0.2119451891569854</v>
      </c>
    </row>
    <row r="192" spans="2:16" x14ac:dyDescent="0.4">
      <c r="C192" s="341" t="s">
        <v>19</v>
      </c>
      <c r="E192" s="368">
        <f>P186/$P$188</f>
        <v>0.34465296395591299</v>
      </c>
    </row>
    <row r="193" spans="2:16" x14ac:dyDescent="0.4">
      <c r="C193" s="369" t="s">
        <v>18</v>
      </c>
      <c r="D193" s="369"/>
      <c r="E193" s="368">
        <f>P187/$P$188</f>
        <v>6.6577301161751562E-2</v>
      </c>
    </row>
    <row r="195" spans="2:16" x14ac:dyDescent="0.4">
      <c r="B195" s="341" t="s">
        <v>282</v>
      </c>
      <c r="P195" s="342" t="s">
        <v>32</v>
      </c>
    </row>
    <row r="197" spans="2:16" ht="15.75" customHeight="1" x14ac:dyDescent="0.4">
      <c r="F197" s="346"/>
      <c r="G197" s="347" t="s">
        <v>218</v>
      </c>
      <c r="H197" s="348" t="s">
        <v>31</v>
      </c>
      <c r="I197" s="349" t="s">
        <v>30</v>
      </c>
      <c r="J197" s="349" t="s">
        <v>29</v>
      </c>
      <c r="K197" s="349" t="s">
        <v>28</v>
      </c>
      <c r="L197" s="349" t="s">
        <v>27</v>
      </c>
      <c r="M197" s="349" t="s">
        <v>26</v>
      </c>
      <c r="N197" s="350" t="s">
        <v>25</v>
      </c>
      <c r="O197" s="348" t="s">
        <v>24</v>
      </c>
      <c r="P197" s="349" t="s">
        <v>23</v>
      </c>
    </row>
    <row r="198" spans="2:16" x14ac:dyDescent="0.4">
      <c r="C198" s="341" t="s">
        <v>21</v>
      </c>
      <c r="F198" s="347">
        <v>1</v>
      </c>
      <c r="G198" s="335">
        <v>17</v>
      </c>
      <c r="H198" s="336">
        <v>299</v>
      </c>
      <c r="I198" s="337">
        <v>458</v>
      </c>
      <c r="J198" s="337">
        <v>617</v>
      </c>
      <c r="K198" s="337">
        <v>685</v>
      </c>
      <c r="L198" s="337">
        <v>732</v>
      </c>
      <c r="M198" s="337">
        <v>918</v>
      </c>
      <c r="N198" s="338">
        <v>267</v>
      </c>
      <c r="O198" s="336">
        <v>24</v>
      </c>
      <c r="P198" s="351">
        <f t="shared" ref="P198:P199" si="40">SUM(G198:O198)</f>
        <v>4017</v>
      </c>
    </row>
    <row r="199" spans="2:16" x14ac:dyDescent="0.4">
      <c r="C199" s="341" t="s">
        <v>20</v>
      </c>
      <c r="F199" s="347">
        <v>2</v>
      </c>
      <c r="G199" s="335">
        <v>1</v>
      </c>
      <c r="H199" s="336">
        <v>90</v>
      </c>
      <c r="I199" s="337">
        <v>126</v>
      </c>
      <c r="J199" s="337">
        <v>223</v>
      </c>
      <c r="K199" s="337">
        <v>285</v>
      </c>
      <c r="L199" s="337">
        <v>324</v>
      </c>
      <c r="M199" s="337">
        <v>427</v>
      </c>
      <c r="N199" s="338">
        <v>115</v>
      </c>
      <c r="O199" s="336">
        <v>6</v>
      </c>
      <c r="P199" s="351">
        <f t="shared" si="40"/>
        <v>1597</v>
      </c>
    </row>
    <row r="200" spans="2:16" x14ac:dyDescent="0.4">
      <c r="C200" s="341" t="s">
        <v>19</v>
      </c>
      <c r="F200" s="360">
        <v>3</v>
      </c>
      <c r="G200" s="335">
        <v>0</v>
      </c>
      <c r="H200" s="361">
        <v>33</v>
      </c>
      <c r="I200" s="362">
        <v>37</v>
      </c>
      <c r="J200" s="362">
        <v>67</v>
      </c>
      <c r="K200" s="362">
        <v>89</v>
      </c>
      <c r="L200" s="362">
        <v>99</v>
      </c>
      <c r="M200" s="362">
        <v>154</v>
      </c>
      <c r="N200" s="363">
        <v>52</v>
      </c>
      <c r="O200" s="336">
        <v>3</v>
      </c>
      <c r="P200" s="351">
        <f>SUM(G200:O200)</f>
        <v>534</v>
      </c>
    </row>
    <row r="201" spans="2:16" x14ac:dyDescent="0.4">
      <c r="F201" s="364" t="s">
        <v>18</v>
      </c>
      <c r="G201" s="335">
        <v>1</v>
      </c>
      <c r="H201" s="361">
        <v>6</v>
      </c>
      <c r="I201" s="362">
        <v>17</v>
      </c>
      <c r="J201" s="362">
        <v>51</v>
      </c>
      <c r="K201" s="362">
        <v>68</v>
      </c>
      <c r="L201" s="362">
        <v>116</v>
      </c>
      <c r="M201" s="362">
        <v>209</v>
      </c>
      <c r="N201" s="363">
        <v>88</v>
      </c>
      <c r="O201" s="336">
        <v>10</v>
      </c>
      <c r="P201" s="351">
        <f>SUM(G201:O201)</f>
        <v>566</v>
      </c>
    </row>
    <row r="202" spans="2:16" x14ac:dyDescent="0.4">
      <c r="F202" s="365" t="s">
        <v>23</v>
      </c>
      <c r="G202" s="366">
        <f>SUM(G198:G201)</f>
        <v>19</v>
      </c>
      <c r="H202" s="366">
        <f>SUM(H198:H201)</f>
        <v>428</v>
      </c>
      <c r="I202" s="366">
        <f t="shared" ref="I202:O202" si="41">SUM(I198:I201)</f>
        <v>638</v>
      </c>
      <c r="J202" s="366">
        <f t="shared" si="41"/>
        <v>958</v>
      </c>
      <c r="K202" s="366">
        <f t="shared" si="41"/>
        <v>1127</v>
      </c>
      <c r="L202" s="366">
        <f t="shared" si="41"/>
        <v>1271</v>
      </c>
      <c r="M202" s="366">
        <f t="shared" si="41"/>
        <v>1708</v>
      </c>
      <c r="N202" s="366">
        <f t="shared" si="41"/>
        <v>522</v>
      </c>
      <c r="O202" s="366">
        <f t="shared" si="41"/>
        <v>43</v>
      </c>
      <c r="P202" s="366">
        <f>SUM(P198:P201)</f>
        <v>6714</v>
      </c>
    </row>
    <row r="203" spans="2:16" x14ac:dyDescent="0.4">
      <c r="C203" s="341" t="s">
        <v>22</v>
      </c>
    </row>
    <row r="204" spans="2:16" x14ac:dyDescent="0.4">
      <c r="C204" s="341" t="s">
        <v>21</v>
      </c>
      <c r="E204" s="368">
        <f>P198/$P$202</f>
        <v>0.59830205540661308</v>
      </c>
    </row>
    <row r="205" spans="2:16" x14ac:dyDescent="0.4">
      <c r="C205" s="341" t="s">
        <v>20</v>
      </c>
      <c r="E205" s="368">
        <f>P199/$P$202</f>
        <v>0.23786118558236521</v>
      </c>
    </row>
    <row r="206" spans="2:16" x14ac:dyDescent="0.4">
      <c r="C206" s="341" t="s">
        <v>19</v>
      </c>
      <c r="E206" s="368">
        <f>P200/$P$202</f>
        <v>7.9535299374441468E-2</v>
      </c>
    </row>
    <row r="207" spans="2:16" x14ac:dyDescent="0.4">
      <c r="C207" s="369" t="s">
        <v>18</v>
      </c>
      <c r="D207" s="369"/>
      <c r="E207" s="368">
        <f>P201/$P$202</f>
        <v>8.4301459636580284E-2</v>
      </c>
    </row>
    <row r="209" spans="2:16" x14ac:dyDescent="0.4">
      <c r="B209" s="341" t="s">
        <v>283</v>
      </c>
      <c r="P209" s="342" t="s">
        <v>32</v>
      </c>
    </row>
    <row r="211" spans="2:16" ht="17.25" customHeight="1" x14ac:dyDescent="0.4">
      <c r="F211" s="346"/>
      <c r="G211" s="347" t="s">
        <v>218</v>
      </c>
      <c r="H211" s="348" t="s">
        <v>31</v>
      </c>
      <c r="I211" s="349" t="s">
        <v>30</v>
      </c>
      <c r="J211" s="349" t="s">
        <v>29</v>
      </c>
      <c r="K211" s="349" t="s">
        <v>28</v>
      </c>
      <c r="L211" s="349" t="s">
        <v>27</v>
      </c>
      <c r="M211" s="349" t="s">
        <v>26</v>
      </c>
      <c r="N211" s="350" t="s">
        <v>25</v>
      </c>
      <c r="O211" s="348" t="s">
        <v>24</v>
      </c>
      <c r="P211" s="349" t="s">
        <v>23</v>
      </c>
    </row>
    <row r="212" spans="2:16" x14ac:dyDescent="0.4">
      <c r="C212" s="341" t="s">
        <v>21</v>
      </c>
      <c r="F212" s="347">
        <v>1</v>
      </c>
      <c r="G212" s="335">
        <v>15</v>
      </c>
      <c r="H212" s="336">
        <v>265</v>
      </c>
      <c r="I212" s="337">
        <v>402</v>
      </c>
      <c r="J212" s="337">
        <v>564</v>
      </c>
      <c r="K212" s="337">
        <v>595</v>
      </c>
      <c r="L212" s="337">
        <v>609</v>
      </c>
      <c r="M212" s="337">
        <v>847</v>
      </c>
      <c r="N212" s="338">
        <v>277</v>
      </c>
      <c r="O212" s="336">
        <v>24</v>
      </c>
      <c r="P212" s="351">
        <f t="shared" ref="P212:P216" si="42">SUM(G212:O212)</f>
        <v>3598</v>
      </c>
    </row>
    <row r="213" spans="2:16" x14ac:dyDescent="0.4">
      <c r="C213" s="341" t="s">
        <v>20</v>
      </c>
      <c r="F213" s="347">
        <v>2</v>
      </c>
      <c r="G213" s="335">
        <v>3</v>
      </c>
      <c r="H213" s="336">
        <v>100</v>
      </c>
      <c r="I213" s="337">
        <v>156</v>
      </c>
      <c r="J213" s="337">
        <v>242</v>
      </c>
      <c r="K213" s="337">
        <v>347</v>
      </c>
      <c r="L213" s="337">
        <v>424</v>
      </c>
      <c r="M213" s="337">
        <v>460</v>
      </c>
      <c r="N213" s="338">
        <v>110</v>
      </c>
      <c r="O213" s="336">
        <v>4</v>
      </c>
      <c r="P213" s="351">
        <f t="shared" si="42"/>
        <v>1846</v>
      </c>
    </row>
    <row r="214" spans="2:16" x14ac:dyDescent="0.4">
      <c r="C214" s="341" t="s">
        <v>19</v>
      </c>
      <c r="F214" s="360">
        <v>3</v>
      </c>
      <c r="G214" s="335">
        <v>0</v>
      </c>
      <c r="H214" s="361">
        <v>58</v>
      </c>
      <c r="I214" s="362">
        <v>64</v>
      </c>
      <c r="J214" s="362">
        <v>103</v>
      </c>
      <c r="K214" s="362">
        <v>121</v>
      </c>
      <c r="L214" s="362">
        <v>125</v>
      </c>
      <c r="M214" s="362">
        <v>199</v>
      </c>
      <c r="N214" s="363">
        <v>56</v>
      </c>
      <c r="O214" s="336">
        <v>4</v>
      </c>
      <c r="P214" s="351">
        <f t="shared" si="42"/>
        <v>730</v>
      </c>
    </row>
    <row r="215" spans="2:16" x14ac:dyDescent="0.4">
      <c r="F215" s="364" t="s">
        <v>18</v>
      </c>
      <c r="G215" s="335">
        <v>1</v>
      </c>
      <c r="H215" s="361">
        <v>5</v>
      </c>
      <c r="I215" s="362">
        <v>16</v>
      </c>
      <c r="J215" s="362">
        <v>49</v>
      </c>
      <c r="K215" s="362">
        <v>64</v>
      </c>
      <c r="L215" s="362">
        <v>113</v>
      </c>
      <c r="M215" s="362">
        <v>202</v>
      </c>
      <c r="N215" s="363">
        <v>79</v>
      </c>
      <c r="O215" s="336">
        <v>11</v>
      </c>
      <c r="P215" s="351">
        <f t="shared" si="42"/>
        <v>540</v>
      </c>
    </row>
    <row r="216" spans="2:16" x14ac:dyDescent="0.4">
      <c r="F216" s="365" t="s">
        <v>23</v>
      </c>
      <c r="G216" s="366">
        <f>SUM(G212:G215)</f>
        <v>19</v>
      </c>
      <c r="H216" s="366">
        <f>SUM(H212:H215)</f>
        <v>428</v>
      </c>
      <c r="I216" s="366">
        <f t="shared" ref="I216:O216" si="43">SUM(I212:I215)</f>
        <v>638</v>
      </c>
      <c r="J216" s="366">
        <f t="shared" si="43"/>
        <v>958</v>
      </c>
      <c r="K216" s="366">
        <f t="shared" si="43"/>
        <v>1127</v>
      </c>
      <c r="L216" s="366">
        <f t="shared" si="43"/>
        <v>1271</v>
      </c>
      <c r="M216" s="366">
        <f t="shared" si="43"/>
        <v>1708</v>
      </c>
      <c r="N216" s="366">
        <f t="shared" si="43"/>
        <v>522</v>
      </c>
      <c r="O216" s="366">
        <f t="shared" si="43"/>
        <v>43</v>
      </c>
      <c r="P216" s="351">
        <f t="shared" si="42"/>
        <v>6714</v>
      </c>
    </row>
    <row r="217" spans="2:16" x14ac:dyDescent="0.4">
      <c r="C217" s="341" t="s">
        <v>22</v>
      </c>
    </row>
    <row r="218" spans="2:16" x14ac:dyDescent="0.4">
      <c r="C218" s="341" t="s">
        <v>21</v>
      </c>
      <c r="E218" s="368">
        <f>P212/$P$216</f>
        <v>0.53589514447423292</v>
      </c>
    </row>
    <row r="219" spans="2:16" x14ac:dyDescent="0.4">
      <c r="C219" s="341" t="s">
        <v>20</v>
      </c>
      <c r="E219" s="368">
        <f>P213/$P$216</f>
        <v>0.27494787012213284</v>
      </c>
    </row>
    <row r="220" spans="2:16" x14ac:dyDescent="0.4">
      <c r="C220" s="341" t="s">
        <v>19</v>
      </c>
      <c r="E220" s="368">
        <f>P214/$P$216</f>
        <v>0.1087280309800417</v>
      </c>
    </row>
    <row r="221" spans="2:16" x14ac:dyDescent="0.4">
      <c r="C221" s="369" t="s">
        <v>18</v>
      </c>
      <c r="D221" s="369"/>
      <c r="E221" s="368">
        <f>P215/$P$216</f>
        <v>8.0428954423592491E-2</v>
      </c>
    </row>
    <row r="223" spans="2:16" x14ac:dyDescent="0.4">
      <c r="B223" s="341" t="s">
        <v>284</v>
      </c>
      <c r="P223" s="342" t="s">
        <v>32</v>
      </c>
    </row>
    <row r="224" spans="2:16" x14ac:dyDescent="0.4">
      <c r="P224" s="342"/>
    </row>
    <row r="225" spans="2:16" x14ac:dyDescent="0.4">
      <c r="B225" s="376"/>
      <c r="C225" s="341" t="s">
        <v>22</v>
      </c>
      <c r="D225" s="368"/>
      <c r="F225" s="346"/>
      <c r="G225" s="347" t="s">
        <v>218</v>
      </c>
      <c r="H225" s="348" t="s">
        <v>31</v>
      </c>
      <c r="I225" s="349" t="s">
        <v>30</v>
      </c>
      <c r="J225" s="349" t="s">
        <v>29</v>
      </c>
      <c r="K225" s="349" t="s">
        <v>28</v>
      </c>
      <c r="L225" s="349" t="s">
        <v>27</v>
      </c>
      <c r="M225" s="349" t="s">
        <v>26</v>
      </c>
      <c r="N225" s="350" t="s">
        <v>25</v>
      </c>
      <c r="O225" s="348" t="s">
        <v>24</v>
      </c>
      <c r="P225" s="349" t="s">
        <v>23</v>
      </c>
    </row>
    <row r="226" spans="2:16" x14ac:dyDescent="0.4">
      <c r="C226" s="341" t="s">
        <v>75</v>
      </c>
      <c r="D226" s="368">
        <f>P226/$P$229</f>
        <v>0.50461721775394697</v>
      </c>
      <c r="F226" s="347">
        <v>1</v>
      </c>
      <c r="G226" s="335">
        <v>12</v>
      </c>
      <c r="H226" s="336">
        <v>270</v>
      </c>
      <c r="I226" s="337">
        <v>291</v>
      </c>
      <c r="J226" s="337">
        <v>436</v>
      </c>
      <c r="K226" s="337">
        <v>511</v>
      </c>
      <c r="L226" s="337">
        <v>593</v>
      </c>
      <c r="M226" s="337">
        <v>924</v>
      </c>
      <c r="N226" s="338">
        <v>322</v>
      </c>
      <c r="O226" s="336">
        <v>29</v>
      </c>
      <c r="P226" s="351">
        <f>SUM(G226:O226)</f>
        <v>3388</v>
      </c>
    </row>
    <row r="227" spans="2:16" x14ac:dyDescent="0.4">
      <c r="C227" s="341" t="s">
        <v>74</v>
      </c>
      <c r="D227" s="368">
        <f>P227/$P$229</f>
        <v>0.41152815013404825</v>
      </c>
      <c r="F227" s="347">
        <v>2</v>
      </c>
      <c r="G227" s="335">
        <v>7</v>
      </c>
      <c r="H227" s="336">
        <v>149</v>
      </c>
      <c r="I227" s="337">
        <v>325</v>
      </c>
      <c r="J227" s="337">
        <v>465</v>
      </c>
      <c r="K227" s="337">
        <v>548</v>
      </c>
      <c r="L227" s="337">
        <v>551</v>
      </c>
      <c r="M227" s="337">
        <v>582</v>
      </c>
      <c r="N227" s="338">
        <v>128</v>
      </c>
      <c r="O227" s="336">
        <v>8</v>
      </c>
      <c r="P227" s="351">
        <f t="shared" ref="P227:P229" si="44">SUM(G227:O227)</f>
        <v>2763</v>
      </c>
    </row>
    <row r="228" spans="2:16" x14ac:dyDescent="0.4">
      <c r="C228" s="369" t="s">
        <v>18</v>
      </c>
      <c r="D228" s="368">
        <f>P228/$P$229</f>
        <v>8.3854632112004765E-2</v>
      </c>
      <c r="F228" s="364" t="s">
        <v>18</v>
      </c>
      <c r="G228" s="335">
        <v>0</v>
      </c>
      <c r="H228" s="361">
        <v>9</v>
      </c>
      <c r="I228" s="362">
        <v>22</v>
      </c>
      <c r="J228" s="362">
        <v>57</v>
      </c>
      <c r="K228" s="362">
        <v>68</v>
      </c>
      <c r="L228" s="362">
        <v>127</v>
      </c>
      <c r="M228" s="362">
        <v>202</v>
      </c>
      <c r="N228" s="363">
        <v>72</v>
      </c>
      <c r="O228" s="336">
        <v>6</v>
      </c>
      <c r="P228" s="351">
        <f t="shared" si="44"/>
        <v>563</v>
      </c>
    </row>
    <row r="229" spans="2:16" x14ac:dyDescent="0.4">
      <c r="F229" s="365" t="s">
        <v>23</v>
      </c>
      <c r="G229" s="366">
        <f>SUM(G226:G228)</f>
        <v>19</v>
      </c>
      <c r="H229" s="366">
        <f>SUM(H226:H228)</f>
        <v>428</v>
      </c>
      <c r="I229" s="366">
        <f t="shared" ref="I229:O229" si="45">SUM(I226:I228)</f>
        <v>638</v>
      </c>
      <c r="J229" s="366">
        <f t="shared" si="45"/>
        <v>958</v>
      </c>
      <c r="K229" s="366">
        <f t="shared" si="45"/>
        <v>1127</v>
      </c>
      <c r="L229" s="366">
        <f t="shared" si="45"/>
        <v>1271</v>
      </c>
      <c r="M229" s="366">
        <f t="shared" si="45"/>
        <v>1708</v>
      </c>
      <c r="N229" s="366">
        <f t="shared" si="45"/>
        <v>522</v>
      </c>
      <c r="O229" s="366">
        <f t="shared" si="45"/>
        <v>43</v>
      </c>
      <c r="P229" s="351">
        <f t="shared" si="44"/>
        <v>6714</v>
      </c>
    </row>
    <row r="231" spans="2:16" x14ac:dyDescent="0.4">
      <c r="B231" s="341" t="s">
        <v>285</v>
      </c>
      <c r="P231" s="342" t="s">
        <v>32</v>
      </c>
    </row>
    <row r="232" spans="2:16" x14ac:dyDescent="0.4">
      <c r="P232" s="342"/>
    </row>
    <row r="233" spans="2:16" x14ac:dyDescent="0.4">
      <c r="B233" s="376"/>
      <c r="C233" s="341" t="s">
        <v>22</v>
      </c>
      <c r="D233" s="368"/>
      <c r="F233" s="346"/>
      <c r="G233" s="347" t="s">
        <v>218</v>
      </c>
      <c r="H233" s="348" t="s">
        <v>31</v>
      </c>
      <c r="I233" s="349" t="s">
        <v>30</v>
      </c>
      <c r="J233" s="349" t="s">
        <v>29</v>
      </c>
      <c r="K233" s="349" t="s">
        <v>28</v>
      </c>
      <c r="L233" s="349" t="s">
        <v>27</v>
      </c>
      <c r="M233" s="349" t="s">
        <v>26</v>
      </c>
      <c r="N233" s="350" t="s">
        <v>25</v>
      </c>
      <c r="O233" s="348" t="s">
        <v>24</v>
      </c>
      <c r="P233" s="349" t="s">
        <v>23</v>
      </c>
    </row>
    <row r="234" spans="2:16" x14ac:dyDescent="0.4">
      <c r="C234" s="341" t="s">
        <v>75</v>
      </c>
      <c r="D234" s="368">
        <f>P234/$P$237</f>
        <v>0.1687518617813524</v>
      </c>
      <c r="F234" s="347">
        <v>1</v>
      </c>
      <c r="G234" s="335">
        <v>0</v>
      </c>
      <c r="H234" s="336">
        <v>6</v>
      </c>
      <c r="I234" s="337">
        <v>32</v>
      </c>
      <c r="J234" s="337">
        <v>63</v>
      </c>
      <c r="K234" s="337">
        <v>157</v>
      </c>
      <c r="L234" s="337">
        <v>267</v>
      </c>
      <c r="M234" s="337">
        <v>435</v>
      </c>
      <c r="N234" s="338">
        <v>159</v>
      </c>
      <c r="O234" s="336">
        <v>14</v>
      </c>
      <c r="P234" s="351">
        <f>SUM(G234:O234)</f>
        <v>1133</v>
      </c>
    </row>
    <row r="235" spans="2:16" x14ac:dyDescent="0.4">
      <c r="C235" s="341" t="s">
        <v>74</v>
      </c>
      <c r="D235" s="368">
        <f>P235/$P$237</f>
        <v>0.74441465594280609</v>
      </c>
      <c r="F235" s="347">
        <v>2</v>
      </c>
      <c r="G235" s="335">
        <v>19</v>
      </c>
      <c r="H235" s="336">
        <v>414</v>
      </c>
      <c r="I235" s="337">
        <v>579</v>
      </c>
      <c r="J235" s="337">
        <v>824</v>
      </c>
      <c r="K235" s="337">
        <v>899</v>
      </c>
      <c r="L235" s="337">
        <v>878</v>
      </c>
      <c r="M235" s="337">
        <v>1071</v>
      </c>
      <c r="N235" s="338">
        <v>292</v>
      </c>
      <c r="O235" s="336">
        <v>22</v>
      </c>
      <c r="P235" s="351">
        <f t="shared" ref="P235:P237" si="46">SUM(G235:O235)</f>
        <v>4998</v>
      </c>
    </row>
    <row r="236" spans="2:16" x14ac:dyDescent="0.4">
      <c r="C236" s="369" t="s">
        <v>18</v>
      </c>
      <c r="D236" s="368">
        <f>P236/$P$237</f>
        <v>8.683348227584152E-2</v>
      </c>
      <c r="F236" s="364" t="s">
        <v>18</v>
      </c>
      <c r="G236" s="335">
        <v>0</v>
      </c>
      <c r="H236" s="361">
        <v>8</v>
      </c>
      <c r="I236" s="362">
        <v>27</v>
      </c>
      <c r="J236" s="362">
        <v>71</v>
      </c>
      <c r="K236" s="362">
        <v>71</v>
      </c>
      <c r="L236" s="362">
        <v>126</v>
      </c>
      <c r="M236" s="362">
        <v>202</v>
      </c>
      <c r="N236" s="363">
        <v>71</v>
      </c>
      <c r="O236" s="336">
        <v>7</v>
      </c>
      <c r="P236" s="351">
        <f t="shared" si="46"/>
        <v>583</v>
      </c>
    </row>
    <row r="237" spans="2:16" x14ac:dyDescent="0.4">
      <c r="F237" s="365" t="s">
        <v>23</v>
      </c>
      <c r="G237" s="366">
        <f>SUM(G234:G236)</f>
        <v>19</v>
      </c>
      <c r="H237" s="366">
        <f>SUM(H234:H236)</f>
        <v>428</v>
      </c>
      <c r="I237" s="366">
        <f t="shared" ref="I237:O237" si="47">SUM(I234:I236)</f>
        <v>638</v>
      </c>
      <c r="J237" s="366">
        <f t="shared" si="47"/>
        <v>958</v>
      </c>
      <c r="K237" s="366">
        <f t="shared" si="47"/>
        <v>1127</v>
      </c>
      <c r="L237" s="366">
        <f t="shared" si="47"/>
        <v>1271</v>
      </c>
      <c r="M237" s="366">
        <f t="shared" si="47"/>
        <v>1708</v>
      </c>
      <c r="N237" s="366">
        <f t="shared" si="47"/>
        <v>522</v>
      </c>
      <c r="O237" s="366">
        <f t="shared" si="47"/>
        <v>43</v>
      </c>
      <c r="P237" s="351">
        <f t="shared" si="46"/>
        <v>6714</v>
      </c>
    </row>
    <row r="239" spans="2:16" x14ac:dyDescent="0.4">
      <c r="B239" s="341" t="s">
        <v>286</v>
      </c>
      <c r="P239" s="342" t="s">
        <v>32</v>
      </c>
    </row>
    <row r="240" spans="2:16" x14ac:dyDescent="0.4">
      <c r="P240" s="342"/>
    </row>
    <row r="241" spans="2:16" x14ac:dyDescent="0.4">
      <c r="B241" s="376"/>
      <c r="C241" s="341" t="s">
        <v>22</v>
      </c>
      <c r="D241" s="368"/>
      <c r="F241" s="346"/>
      <c r="G241" s="347" t="s">
        <v>218</v>
      </c>
      <c r="H241" s="348" t="s">
        <v>31</v>
      </c>
      <c r="I241" s="349" t="s">
        <v>30</v>
      </c>
      <c r="J241" s="349" t="s">
        <v>29</v>
      </c>
      <c r="K241" s="349" t="s">
        <v>28</v>
      </c>
      <c r="L241" s="349" t="s">
        <v>27</v>
      </c>
      <c r="M241" s="349" t="s">
        <v>26</v>
      </c>
      <c r="N241" s="350" t="s">
        <v>25</v>
      </c>
      <c r="O241" s="348" t="s">
        <v>24</v>
      </c>
      <c r="P241" s="349" t="s">
        <v>23</v>
      </c>
    </row>
    <row r="242" spans="2:16" x14ac:dyDescent="0.4">
      <c r="C242" s="341" t="s">
        <v>75</v>
      </c>
      <c r="D242" s="368">
        <f>P242/$P$245</f>
        <v>0.19422103068215668</v>
      </c>
      <c r="F242" s="347">
        <v>1</v>
      </c>
      <c r="G242" s="335">
        <v>4</v>
      </c>
      <c r="H242" s="336">
        <v>43</v>
      </c>
      <c r="I242" s="337">
        <v>102</v>
      </c>
      <c r="J242" s="337">
        <v>139</v>
      </c>
      <c r="K242" s="337">
        <v>209</v>
      </c>
      <c r="L242" s="337">
        <v>281</v>
      </c>
      <c r="M242" s="337">
        <v>385</v>
      </c>
      <c r="N242" s="338">
        <v>126</v>
      </c>
      <c r="O242" s="336">
        <v>15</v>
      </c>
      <c r="P242" s="351">
        <f>SUM(G242:O242)</f>
        <v>1304</v>
      </c>
    </row>
    <row r="243" spans="2:16" x14ac:dyDescent="0.4">
      <c r="C243" s="341" t="s">
        <v>74</v>
      </c>
      <c r="D243" s="368">
        <f>P243/$P$245</f>
        <v>0.71760500446827524</v>
      </c>
      <c r="F243" s="347">
        <v>2</v>
      </c>
      <c r="G243" s="335">
        <v>15</v>
      </c>
      <c r="H243" s="336">
        <v>378</v>
      </c>
      <c r="I243" s="337">
        <v>510</v>
      </c>
      <c r="J243" s="337">
        <v>750</v>
      </c>
      <c r="K243" s="337">
        <v>848</v>
      </c>
      <c r="L243" s="337">
        <v>859</v>
      </c>
      <c r="M243" s="337">
        <v>1114</v>
      </c>
      <c r="N243" s="338">
        <v>322</v>
      </c>
      <c r="O243" s="336">
        <v>22</v>
      </c>
      <c r="P243" s="351">
        <f t="shared" ref="P243:P245" si="48">SUM(G243:O243)</f>
        <v>4818</v>
      </c>
    </row>
    <row r="244" spans="2:16" x14ac:dyDescent="0.4">
      <c r="C244" s="369" t="s">
        <v>18</v>
      </c>
      <c r="D244" s="368">
        <f>P244/$P$245</f>
        <v>8.8173964849568062E-2</v>
      </c>
      <c r="F244" s="364" t="s">
        <v>18</v>
      </c>
      <c r="G244" s="335">
        <v>0</v>
      </c>
      <c r="H244" s="361">
        <v>7</v>
      </c>
      <c r="I244" s="362">
        <v>26</v>
      </c>
      <c r="J244" s="362">
        <v>69</v>
      </c>
      <c r="K244" s="362">
        <v>70</v>
      </c>
      <c r="L244" s="362">
        <v>131</v>
      </c>
      <c r="M244" s="362">
        <v>209</v>
      </c>
      <c r="N244" s="363">
        <v>74</v>
      </c>
      <c r="O244" s="336">
        <v>6</v>
      </c>
      <c r="P244" s="351">
        <f t="shared" si="48"/>
        <v>592</v>
      </c>
    </row>
    <row r="245" spans="2:16" x14ac:dyDescent="0.4">
      <c r="F245" s="365" t="s">
        <v>23</v>
      </c>
      <c r="G245" s="366">
        <f>SUM(G242:G244)</f>
        <v>19</v>
      </c>
      <c r="H245" s="366">
        <f>SUM(H242:H244)</f>
        <v>428</v>
      </c>
      <c r="I245" s="366">
        <f t="shared" ref="I245:O245" si="49">SUM(I242:I244)</f>
        <v>638</v>
      </c>
      <c r="J245" s="366">
        <f t="shared" si="49"/>
        <v>958</v>
      </c>
      <c r="K245" s="366">
        <f t="shared" si="49"/>
        <v>1127</v>
      </c>
      <c r="L245" s="366">
        <f t="shared" si="49"/>
        <v>1271</v>
      </c>
      <c r="M245" s="366">
        <f t="shared" si="49"/>
        <v>1708</v>
      </c>
      <c r="N245" s="366">
        <f t="shared" si="49"/>
        <v>522</v>
      </c>
      <c r="O245" s="366">
        <f t="shared" si="49"/>
        <v>43</v>
      </c>
      <c r="P245" s="351">
        <f t="shared" si="48"/>
        <v>6714</v>
      </c>
    </row>
    <row r="247" spans="2:16" x14ac:dyDescent="0.4">
      <c r="B247" s="341" t="s">
        <v>287</v>
      </c>
      <c r="P247" s="341" t="s">
        <v>32</v>
      </c>
    </row>
    <row r="249" spans="2:16" x14ac:dyDescent="0.4">
      <c r="C249" s="341" t="s">
        <v>22</v>
      </c>
      <c r="D249" s="368"/>
      <c r="F249" s="346"/>
      <c r="G249" s="347" t="s">
        <v>218</v>
      </c>
      <c r="H249" s="348" t="s">
        <v>31</v>
      </c>
      <c r="I249" s="349" t="s">
        <v>30</v>
      </c>
      <c r="J249" s="349" t="s">
        <v>29</v>
      </c>
      <c r="K249" s="349" t="s">
        <v>28</v>
      </c>
      <c r="L249" s="349" t="s">
        <v>27</v>
      </c>
      <c r="M249" s="349" t="s">
        <v>26</v>
      </c>
      <c r="N249" s="350" t="s">
        <v>25</v>
      </c>
      <c r="O249" s="348" t="s">
        <v>24</v>
      </c>
      <c r="P249" s="349" t="s">
        <v>23</v>
      </c>
    </row>
    <row r="250" spans="2:16" x14ac:dyDescent="0.4">
      <c r="C250" s="341" t="s">
        <v>75</v>
      </c>
      <c r="D250" s="368">
        <f>P250/$P$253</f>
        <v>0.19839142091152814</v>
      </c>
      <c r="F250" s="347">
        <v>1</v>
      </c>
      <c r="G250" s="335">
        <v>5</v>
      </c>
      <c r="H250" s="336">
        <v>78</v>
      </c>
      <c r="I250" s="337">
        <v>124</v>
      </c>
      <c r="J250" s="337">
        <v>177</v>
      </c>
      <c r="K250" s="337">
        <v>220</v>
      </c>
      <c r="L250" s="337">
        <v>237</v>
      </c>
      <c r="M250" s="337">
        <v>342</v>
      </c>
      <c r="N250" s="338">
        <v>134</v>
      </c>
      <c r="O250" s="336">
        <v>15</v>
      </c>
      <c r="P250" s="351">
        <f>SUM(G250:O250)</f>
        <v>1332</v>
      </c>
    </row>
    <row r="251" spans="2:16" x14ac:dyDescent="0.4">
      <c r="C251" s="341" t="s">
        <v>74</v>
      </c>
      <c r="D251" s="368">
        <f>P251/$P$253</f>
        <v>0.71194518915698546</v>
      </c>
      <c r="F251" s="347">
        <v>2</v>
      </c>
      <c r="G251" s="335">
        <v>14</v>
      </c>
      <c r="H251" s="336">
        <v>342</v>
      </c>
      <c r="I251" s="337">
        <v>488</v>
      </c>
      <c r="J251" s="337">
        <v>713</v>
      </c>
      <c r="K251" s="337">
        <v>836</v>
      </c>
      <c r="L251" s="337">
        <v>900</v>
      </c>
      <c r="M251" s="337">
        <v>1154</v>
      </c>
      <c r="N251" s="338">
        <v>311</v>
      </c>
      <c r="O251" s="336">
        <v>22</v>
      </c>
      <c r="P251" s="351">
        <f t="shared" ref="P251:P253" si="50">SUM(G251:O251)</f>
        <v>4780</v>
      </c>
    </row>
    <row r="252" spans="2:16" x14ac:dyDescent="0.4">
      <c r="C252" s="369" t="s">
        <v>18</v>
      </c>
      <c r="D252" s="368">
        <f>P252/$P$253</f>
        <v>8.966338993148644E-2</v>
      </c>
      <c r="F252" s="364" t="s">
        <v>18</v>
      </c>
      <c r="G252" s="335">
        <v>0</v>
      </c>
      <c r="H252" s="361">
        <v>8</v>
      </c>
      <c r="I252" s="362">
        <v>26</v>
      </c>
      <c r="J252" s="362">
        <v>68</v>
      </c>
      <c r="K252" s="362">
        <v>71</v>
      </c>
      <c r="L252" s="362">
        <v>134</v>
      </c>
      <c r="M252" s="362">
        <v>212</v>
      </c>
      <c r="N252" s="363">
        <v>77</v>
      </c>
      <c r="O252" s="336">
        <v>6</v>
      </c>
      <c r="P252" s="351">
        <f t="shared" si="50"/>
        <v>602</v>
      </c>
    </row>
    <row r="253" spans="2:16" x14ac:dyDescent="0.4">
      <c r="F253" s="365" t="s">
        <v>23</v>
      </c>
      <c r="G253" s="366">
        <f>SUM(G250:G252)</f>
        <v>19</v>
      </c>
      <c r="H253" s="366">
        <f>SUM(H250:H252)</f>
        <v>428</v>
      </c>
      <c r="I253" s="366">
        <f t="shared" ref="I253:O253" si="51">SUM(I250:I252)</f>
        <v>638</v>
      </c>
      <c r="J253" s="366">
        <f t="shared" si="51"/>
        <v>958</v>
      </c>
      <c r="K253" s="366">
        <f t="shared" si="51"/>
        <v>1127</v>
      </c>
      <c r="L253" s="366">
        <f t="shared" si="51"/>
        <v>1271</v>
      </c>
      <c r="M253" s="366">
        <f t="shared" si="51"/>
        <v>1708</v>
      </c>
      <c r="N253" s="366">
        <f t="shared" si="51"/>
        <v>522</v>
      </c>
      <c r="O253" s="366">
        <f t="shared" si="51"/>
        <v>43</v>
      </c>
      <c r="P253" s="351">
        <f t="shared" si="50"/>
        <v>6714</v>
      </c>
    </row>
    <row r="255" spans="2:16" x14ac:dyDescent="0.4">
      <c r="B255" s="341" t="s">
        <v>288</v>
      </c>
      <c r="P255" s="341" t="s">
        <v>32</v>
      </c>
    </row>
    <row r="257" spans="2:16" x14ac:dyDescent="0.4">
      <c r="C257" s="341" t="s">
        <v>22</v>
      </c>
      <c r="D257" s="368"/>
      <c r="F257" s="346"/>
      <c r="G257" s="347" t="s">
        <v>218</v>
      </c>
      <c r="H257" s="348" t="s">
        <v>31</v>
      </c>
      <c r="I257" s="349" t="s">
        <v>30</v>
      </c>
      <c r="J257" s="349" t="s">
        <v>29</v>
      </c>
      <c r="K257" s="349" t="s">
        <v>28</v>
      </c>
      <c r="L257" s="349" t="s">
        <v>27</v>
      </c>
      <c r="M257" s="349" t="s">
        <v>26</v>
      </c>
      <c r="N257" s="350" t="s">
        <v>25</v>
      </c>
      <c r="O257" s="348" t="s">
        <v>24</v>
      </c>
      <c r="P257" s="349" t="s">
        <v>23</v>
      </c>
    </row>
    <row r="258" spans="2:16" x14ac:dyDescent="0.4">
      <c r="C258" s="341" t="s">
        <v>75</v>
      </c>
      <c r="D258" s="368">
        <f>P258/$P$261</f>
        <v>0.59413166517724159</v>
      </c>
      <c r="F258" s="347">
        <v>1</v>
      </c>
      <c r="G258" s="335">
        <v>16</v>
      </c>
      <c r="H258" s="336">
        <v>346</v>
      </c>
      <c r="I258" s="337">
        <v>506</v>
      </c>
      <c r="J258" s="337">
        <v>656</v>
      </c>
      <c r="K258" s="337">
        <v>725</v>
      </c>
      <c r="L258" s="337">
        <v>636</v>
      </c>
      <c r="M258" s="337">
        <v>821</v>
      </c>
      <c r="N258" s="338">
        <v>261</v>
      </c>
      <c r="O258" s="336">
        <v>22</v>
      </c>
      <c r="P258" s="351">
        <f>SUM(G258:O258)</f>
        <v>3989</v>
      </c>
    </row>
    <row r="259" spans="2:16" x14ac:dyDescent="0.4">
      <c r="C259" s="341" t="s">
        <v>74</v>
      </c>
      <c r="D259" s="368">
        <f>P259/$P$261</f>
        <v>0.317098599940423</v>
      </c>
      <c r="F259" s="347">
        <v>2</v>
      </c>
      <c r="G259" s="335">
        <v>3</v>
      </c>
      <c r="H259" s="336">
        <v>72</v>
      </c>
      <c r="I259" s="337">
        <v>107</v>
      </c>
      <c r="J259" s="337">
        <v>237</v>
      </c>
      <c r="K259" s="337">
        <v>332</v>
      </c>
      <c r="L259" s="337">
        <v>499</v>
      </c>
      <c r="M259" s="337">
        <v>678</v>
      </c>
      <c r="N259" s="338">
        <v>185</v>
      </c>
      <c r="O259" s="336">
        <v>16</v>
      </c>
      <c r="P259" s="351">
        <f t="shared" ref="P259:P261" si="52">SUM(G259:O259)</f>
        <v>2129</v>
      </c>
    </row>
    <row r="260" spans="2:16" x14ac:dyDescent="0.4">
      <c r="C260" s="369" t="s">
        <v>18</v>
      </c>
      <c r="D260" s="368">
        <f>P260/$P$261</f>
        <v>8.8769734882335416E-2</v>
      </c>
      <c r="F260" s="364" t="s">
        <v>18</v>
      </c>
      <c r="G260" s="335">
        <v>0</v>
      </c>
      <c r="H260" s="361">
        <v>10</v>
      </c>
      <c r="I260" s="362">
        <v>25</v>
      </c>
      <c r="J260" s="362">
        <v>65</v>
      </c>
      <c r="K260" s="362">
        <v>70</v>
      </c>
      <c r="L260" s="362">
        <v>136</v>
      </c>
      <c r="M260" s="362">
        <v>209</v>
      </c>
      <c r="N260" s="363">
        <v>76</v>
      </c>
      <c r="O260" s="336">
        <v>5</v>
      </c>
      <c r="P260" s="351">
        <f>SUM(G260:O260)</f>
        <v>596</v>
      </c>
    </row>
    <row r="261" spans="2:16" x14ac:dyDescent="0.4">
      <c r="F261" s="365" t="s">
        <v>23</v>
      </c>
      <c r="G261" s="366">
        <f>SUM(G258:G260)</f>
        <v>19</v>
      </c>
      <c r="H261" s="366">
        <f>SUM(H258:H260)</f>
        <v>428</v>
      </c>
      <c r="I261" s="366">
        <f t="shared" ref="I261:O261" si="53">SUM(I258:I260)</f>
        <v>638</v>
      </c>
      <c r="J261" s="366">
        <f t="shared" si="53"/>
        <v>958</v>
      </c>
      <c r="K261" s="366">
        <f t="shared" si="53"/>
        <v>1127</v>
      </c>
      <c r="L261" s="366">
        <f t="shared" si="53"/>
        <v>1271</v>
      </c>
      <c r="M261" s="366">
        <f t="shared" si="53"/>
        <v>1708</v>
      </c>
      <c r="N261" s="366">
        <f t="shared" si="53"/>
        <v>522</v>
      </c>
      <c r="O261" s="366">
        <f t="shared" si="53"/>
        <v>43</v>
      </c>
      <c r="P261" s="351">
        <f t="shared" si="52"/>
        <v>6714</v>
      </c>
    </row>
    <row r="263" spans="2:16" x14ac:dyDescent="0.4">
      <c r="B263" s="341" t="s">
        <v>289</v>
      </c>
      <c r="P263" s="341" t="s">
        <v>32</v>
      </c>
    </row>
    <row r="265" spans="2:16" x14ac:dyDescent="0.4">
      <c r="C265" s="341" t="s">
        <v>22</v>
      </c>
      <c r="D265" s="368"/>
      <c r="F265" s="346"/>
      <c r="G265" s="347" t="s">
        <v>218</v>
      </c>
      <c r="H265" s="348" t="s">
        <v>31</v>
      </c>
      <c r="I265" s="349" t="s">
        <v>30</v>
      </c>
      <c r="J265" s="349" t="s">
        <v>29</v>
      </c>
      <c r="K265" s="349" t="s">
        <v>28</v>
      </c>
      <c r="L265" s="349" t="s">
        <v>27</v>
      </c>
      <c r="M265" s="349" t="s">
        <v>26</v>
      </c>
      <c r="N265" s="350" t="s">
        <v>25</v>
      </c>
      <c r="O265" s="348" t="s">
        <v>24</v>
      </c>
      <c r="P265" s="349" t="s">
        <v>23</v>
      </c>
    </row>
    <row r="266" spans="2:16" x14ac:dyDescent="0.4">
      <c r="C266" s="341" t="s">
        <v>75</v>
      </c>
      <c r="D266" s="368">
        <f>P266/$P$269</f>
        <v>0.16815609174858503</v>
      </c>
      <c r="F266" s="347">
        <v>1</v>
      </c>
      <c r="G266" s="335">
        <v>3</v>
      </c>
      <c r="H266" s="336">
        <v>44</v>
      </c>
      <c r="I266" s="337">
        <v>72</v>
      </c>
      <c r="J266" s="337">
        <v>95</v>
      </c>
      <c r="K266" s="337">
        <v>197</v>
      </c>
      <c r="L266" s="337">
        <v>242</v>
      </c>
      <c r="M266" s="337">
        <v>335</v>
      </c>
      <c r="N266" s="338">
        <v>131</v>
      </c>
      <c r="O266" s="336">
        <v>10</v>
      </c>
      <c r="P266" s="351">
        <f>SUM(G266:O266)</f>
        <v>1129</v>
      </c>
    </row>
    <row r="267" spans="2:16" x14ac:dyDescent="0.4">
      <c r="C267" s="341" t="s">
        <v>74</v>
      </c>
      <c r="D267" s="368">
        <f>P267/$P$269</f>
        <v>0.74262734584450407</v>
      </c>
      <c r="F267" s="347">
        <v>2</v>
      </c>
      <c r="G267" s="335">
        <v>16</v>
      </c>
      <c r="H267" s="336">
        <v>375</v>
      </c>
      <c r="I267" s="337">
        <v>536</v>
      </c>
      <c r="J267" s="337">
        <v>797</v>
      </c>
      <c r="K267" s="337">
        <v>858</v>
      </c>
      <c r="L267" s="337">
        <v>897</v>
      </c>
      <c r="M267" s="337">
        <v>1163</v>
      </c>
      <c r="N267" s="338">
        <v>317</v>
      </c>
      <c r="O267" s="336">
        <v>27</v>
      </c>
      <c r="P267" s="351">
        <f t="shared" ref="P267:P269" si="54">SUM(G267:O267)</f>
        <v>4986</v>
      </c>
    </row>
    <row r="268" spans="2:16" x14ac:dyDescent="0.4">
      <c r="C268" s="369" t="s">
        <v>18</v>
      </c>
      <c r="D268" s="368">
        <f>P268/$P$269</f>
        <v>8.9216562406910935E-2</v>
      </c>
      <c r="F268" s="364" t="s">
        <v>18</v>
      </c>
      <c r="G268" s="335">
        <v>0</v>
      </c>
      <c r="H268" s="361">
        <v>9</v>
      </c>
      <c r="I268" s="362">
        <v>30</v>
      </c>
      <c r="J268" s="362">
        <v>66</v>
      </c>
      <c r="K268" s="362">
        <v>72</v>
      </c>
      <c r="L268" s="362">
        <v>132</v>
      </c>
      <c r="M268" s="362">
        <v>210</v>
      </c>
      <c r="N268" s="363">
        <v>74</v>
      </c>
      <c r="O268" s="336">
        <v>6</v>
      </c>
      <c r="P268" s="351">
        <f t="shared" si="54"/>
        <v>599</v>
      </c>
    </row>
    <row r="269" spans="2:16" x14ac:dyDescent="0.4">
      <c r="F269" s="365" t="s">
        <v>23</v>
      </c>
      <c r="G269" s="366">
        <f>SUM(G266:G268)</f>
        <v>19</v>
      </c>
      <c r="H269" s="366">
        <f>SUM(H266:H268)</f>
        <v>428</v>
      </c>
      <c r="I269" s="366">
        <f t="shared" ref="I269:O269" si="55">SUM(I266:I268)</f>
        <v>638</v>
      </c>
      <c r="J269" s="366">
        <f t="shared" si="55"/>
        <v>958</v>
      </c>
      <c r="K269" s="366">
        <f t="shared" si="55"/>
        <v>1127</v>
      </c>
      <c r="L269" s="366">
        <f t="shared" si="55"/>
        <v>1271</v>
      </c>
      <c r="M269" s="366">
        <f t="shared" si="55"/>
        <v>1708</v>
      </c>
      <c r="N269" s="366">
        <f t="shared" si="55"/>
        <v>522</v>
      </c>
      <c r="O269" s="366">
        <f t="shared" si="55"/>
        <v>43</v>
      </c>
      <c r="P269" s="351">
        <f t="shared" si="54"/>
        <v>6714</v>
      </c>
    </row>
  </sheetData>
  <protectedRanges>
    <protectedRange sqref="I160:I164 L160:L164 I123:I124 I126:I127" name="範囲2"/>
    <protectedRange sqref="C15:C17 H22:O26 H36:O38 H95:O97 H106:O108 H118:O119 H130:O133 H151:O152 H154:O155 H170:O173 H184:O187 H198:O201 H212:O215 B1:L1 B4:I6 H258:O260 H226:O228 H234:O236 H242:O244 H250:O252 H12:O13 H48:O50 H59:O61 H70:O72 H81:O86 H266:O268" name="範囲1"/>
  </protectedRanges>
  <phoneticPr fontId="9"/>
  <pageMargins left="0.11811023622047245" right="0.11811023622047245" top="0.59055118110236227" bottom="0.55118110236220474" header="0.31496062992125984" footer="0.31496062992125984"/>
  <pageSetup paperSize="9" scale="61" fitToHeight="0" orientation="portrait" r:id="rId1"/>
  <rowBreaks count="2" manualBreakCount="2">
    <brk id="91" max="16383" man="1"/>
    <brk id="166"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40"/>
  <sheetViews>
    <sheetView view="pageBreakPreview" topLeftCell="A4" zoomScaleNormal="100" zoomScaleSheetLayoutView="100" workbookViewId="0">
      <selection activeCell="F23" sqref="F23"/>
    </sheetView>
  </sheetViews>
  <sheetFormatPr defaultRowHeight="13.5" x14ac:dyDescent="0.15"/>
  <cols>
    <col min="1" max="1" width="77" style="1" customWidth="1"/>
    <col min="2" max="8" width="7.5" style="1" bestFit="1" customWidth="1"/>
    <col min="9" max="9" width="7.5" style="1" customWidth="1"/>
    <col min="10" max="10" width="8.875" style="1" customWidth="1"/>
    <col min="11" max="12" width="11.75" style="1" customWidth="1"/>
    <col min="13" max="16384" width="9" style="1"/>
  </cols>
  <sheetData>
    <row r="1" spans="1:14" x14ac:dyDescent="0.15">
      <c r="A1" s="4" t="s">
        <v>225</v>
      </c>
    </row>
    <row r="2" spans="1:14" ht="16.5" customHeight="1" thickBot="1" x14ac:dyDescent="0.2"/>
    <row r="3" spans="1:14" ht="30.75" customHeight="1" thickBot="1" x14ac:dyDescent="0.2">
      <c r="A3" s="6" t="s">
        <v>2</v>
      </c>
      <c r="B3" s="173" t="s">
        <v>0</v>
      </c>
      <c r="C3" s="7" t="s">
        <v>1</v>
      </c>
      <c r="D3" s="7" t="s">
        <v>3</v>
      </c>
      <c r="E3" s="7" t="s">
        <v>4</v>
      </c>
      <c r="F3" s="7" t="s">
        <v>5</v>
      </c>
      <c r="G3" s="7" t="s">
        <v>6</v>
      </c>
      <c r="H3" s="7" t="s">
        <v>7</v>
      </c>
      <c r="I3" s="170" t="s">
        <v>188</v>
      </c>
      <c r="J3" s="320" t="s">
        <v>226</v>
      </c>
      <c r="K3" s="321" t="s">
        <v>227</v>
      </c>
      <c r="L3" s="400" t="s">
        <v>228</v>
      </c>
      <c r="M3" s="7" t="s">
        <v>297</v>
      </c>
      <c r="N3" s="7" t="s">
        <v>315</v>
      </c>
    </row>
    <row r="4" spans="1:14" ht="15" customHeight="1" x14ac:dyDescent="0.15">
      <c r="A4" s="322" t="s">
        <v>8</v>
      </c>
      <c r="B4" s="5">
        <v>2205</v>
      </c>
      <c r="C4" s="5">
        <v>2998</v>
      </c>
      <c r="D4" s="5">
        <v>5111</v>
      </c>
      <c r="E4" s="5">
        <v>2557</v>
      </c>
      <c r="F4" s="5">
        <v>4748</v>
      </c>
      <c r="G4" s="5">
        <v>4251</v>
      </c>
      <c r="H4" s="5">
        <v>6058</v>
      </c>
      <c r="I4" s="5">
        <v>5777</v>
      </c>
      <c r="J4" s="5">
        <v>2882</v>
      </c>
      <c r="K4" s="323">
        <v>4722</v>
      </c>
      <c r="L4" s="401">
        <v>7022</v>
      </c>
      <c r="M4" s="5">
        <v>6640</v>
      </c>
      <c r="N4" s="423">
        <v>6714</v>
      </c>
    </row>
    <row r="5" spans="1:14" ht="15" customHeight="1" x14ac:dyDescent="0.15">
      <c r="A5" s="324" t="s">
        <v>16</v>
      </c>
      <c r="B5" s="2">
        <f>(1218/2205)*100</f>
        <v>55.238095238095241</v>
      </c>
      <c r="C5" s="2">
        <f>(1638/2998)*100</f>
        <v>54.636424282855231</v>
      </c>
      <c r="D5" s="2">
        <f>(2890/5111)*100</f>
        <v>56.54470749364117</v>
      </c>
      <c r="E5" s="2">
        <f>(1377/2557)*100</f>
        <v>53.85217051231912</v>
      </c>
      <c r="F5" s="2">
        <f>(2710/4748)*100</f>
        <v>57.076663858466723</v>
      </c>
      <c r="G5" s="2">
        <f>(2449/4251)*100</f>
        <v>57.609974123735597</v>
      </c>
      <c r="H5" s="2">
        <f>(3217/6058)*100</f>
        <v>53.103334433806538</v>
      </c>
      <c r="I5" s="2">
        <f>(2993/5777)*100</f>
        <v>51.80889735156655</v>
      </c>
      <c r="J5" s="2">
        <f>(1713/2882)*100</f>
        <v>59.437890353920885</v>
      </c>
      <c r="K5" s="325">
        <v>54.25847457627119</v>
      </c>
      <c r="L5" s="402">
        <v>55.340358872116205</v>
      </c>
      <c r="M5" s="2">
        <v>57.0632530120482</v>
      </c>
      <c r="N5" s="399">
        <v>56.9</v>
      </c>
    </row>
    <row r="6" spans="1:14" ht="15" customHeight="1" x14ac:dyDescent="0.15">
      <c r="A6" s="324" t="s">
        <v>9</v>
      </c>
      <c r="B6" s="2">
        <v>53.2</v>
      </c>
      <c r="C6" s="2">
        <v>53.3</v>
      </c>
      <c r="D6" s="2">
        <v>57.9</v>
      </c>
      <c r="E6" s="3"/>
      <c r="F6" s="2">
        <v>57.3</v>
      </c>
      <c r="G6" s="2">
        <v>59.5</v>
      </c>
      <c r="H6" s="2">
        <v>57.1</v>
      </c>
      <c r="I6" s="2">
        <v>53.7</v>
      </c>
      <c r="J6" s="2">
        <v>59.9</v>
      </c>
      <c r="K6" s="325">
        <v>58.73</v>
      </c>
      <c r="L6" s="402">
        <v>59.4</v>
      </c>
      <c r="M6" s="399">
        <v>59.8</v>
      </c>
      <c r="N6" s="399">
        <v>58.7</v>
      </c>
    </row>
    <row r="7" spans="1:14" ht="15" customHeight="1" x14ac:dyDescent="0.15">
      <c r="A7" s="421" t="s">
        <v>12</v>
      </c>
      <c r="B7" s="2">
        <f>((81+77+106)/432)*100</f>
        <v>61.111111111111114</v>
      </c>
      <c r="C7" s="2">
        <f>((91+89+105)/498)*100</f>
        <v>57.228915662650607</v>
      </c>
      <c r="D7" s="2">
        <f>((112+127+159)/688)*100</f>
        <v>57.848837209302332</v>
      </c>
      <c r="E7" s="2">
        <f>((22+43+39+27+34+35)/(184+189))*100</f>
        <v>53.619302949061662</v>
      </c>
      <c r="F7" s="2">
        <f>((135+146+147)/723)*100</f>
        <v>59.197786998616877</v>
      </c>
      <c r="G7" s="2">
        <f>((121+127+112)/555)*100</f>
        <v>64.86486486486487</v>
      </c>
      <c r="H7" s="2">
        <f>((190+205+232)/992)*100</f>
        <v>63.205645161290327</v>
      </c>
      <c r="I7" s="2">
        <f>((193+234+235)/1079)*100</f>
        <v>61.353104726598708</v>
      </c>
      <c r="J7" s="2">
        <f>((77+71+64)/324)*100</f>
        <v>65.432098765432102</v>
      </c>
      <c r="K7" s="326" t="s">
        <v>229</v>
      </c>
      <c r="L7" s="402">
        <v>68.069815195071897</v>
      </c>
      <c r="M7" s="399">
        <v>72.099999999999994</v>
      </c>
      <c r="N7" s="399">
        <v>72.5</v>
      </c>
    </row>
    <row r="8" spans="1:14" ht="15" customHeight="1" x14ac:dyDescent="0.15">
      <c r="A8" s="421" t="s">
        <v>13</v>
      </c>
      <c r="B8" s="2">
        <f>((99+58+104)/421)*100</f>
        <v>61.995249406175766</v>
      </c>
      <c r="C8" s="2">
        <f>((95+77+90)/490)*100</f>
        <v>53.469387755102041</v>
      </c>
      <c r="D8" s="2">
        <f>((158+124+150)/748)*100</f>
        <v>57.754010695187162</v>
      </c>
      <c r="E8" s="2">
        <f>((27+47+39+31+35+43)/(180+225))*100</f>
        <v>54.814814814814817</v>
      </c>
      <c r="F8" s="2">
        <f>((155+131+119)/624)*100</f>
        <v>64.90384615384616</v>
      </c>
      <c r="G8" s="2">
        <f>((165+107+113)/601)*100</f>
        <v>64.059900166389355</v>
      </c>
      <c r="H8" s="2">
        <f>((240+182+149)/907)*100</f>
        <v>62.954796030871009</v>
      </c>
      <c r="I8" s="2">
        <f>((251+171+174)/901)*100</f>
        <v>66.148723640399552</v>
      </c>
      <c r="J8" s="2">
        <f>((102+58+78)/354)*100</f>
        <v>67.2316384180791</v>
      </c>
      <c r="K8" s="326" t="s">
        <v>230</v>
      </c>
      <c r="L8" s="402">
        <v>67.791706846673108</v>
      </c>
      <c r="M8" s="399">
        <v>66.900000000000006</v>
      </c>
      <c r="N8" s="399">
        <v>67.3</v>
      </c>
    </row>
    <row r="9" spans="1:14" ht="15" customHeight="1" x14ac:dyDescent="0.15">
      <c r="A9" s="421" t="s">
        <v>231</v>
      </c>
      <c r="B9" s="2">
        <f>(656/2205)*100</f>
        <v>29.750566893424036</v>
      </c>
      <c r="C9" s="2">
        <f>(828/2998)*100</f>
        <v>27.618412274849902</v>
      </c>
      <c r="D9" s="2">
        <f>(1479/5111)*100</f>
        <v>28.937585599686948</v>
      </c>
      <c r="E9" s="2">
        <f>(686/2426)*100</f>
        <v>28.276999175597687</v>
      </c>
      <c r="F9" s="2">
        <f>(1544/4748)*100</f>
        <v>32.518955349620896</v>
      </c>
      <c r="G9" s="2">
        <f>(1386/4251)*100</f>
        <v>32.604093154551869</v>
      </c>
      <c r="H9" s="2">
        <f>(2010/6058)*100</f>
        <v>33.179267084846487</v>
      </c>
      <c r="I9" s="2">
        <f>(1873/5777)*100</f>
        <v>32.421672148173791</v>
      </c>
      <c r="J9" s="2">
        <f>(968/2882)*100</f>
        <v>33.587786259541986</v>
      </c>
      <c r="K9" s="326" t="s">
        <v>232</v>
      </c>
      <c r="L9" s="402">
        <v>36.898319567074907</v>
      </c>
      <c r="M9" s="399">
        <v>39.638554216867497</v>
      </c>
      <c r="N9" s="399">
        <v>40.200000000000003</v>
      </c>
    </row>
    <row r="10" spans="1:14" ht="15" customHeight="1" x14ac:dyDescent="0.15">
      <c r="A10" s="421" t="s">
        <v>300</v>
      </c>
      <c r="B10" s="3"/>
      <c r="C10" s="3"/>
      <c r="D10" s="3"/>
      <c r="E10" s="3"/>
      <c r="F10" s="3"/>
      <c r="G10" s="3"/>
      <c r="H10" s="3"/>
      <c r="I10" s="3"/>
      <c r="J10" s="3"/>
      <c r="K10" s="3"/>
      <c r="L10" s="403"/>
      <c r="M10" s="399">
        <v>27.484939759036099</v>
      </c>
      <c r="N10" s="399">
        <v>27.1</v>
      </c>
    </row>
    <row r="11" spans="1:14" ht="15" customHeight="1" x14ac:dyDescent="0.15">
      <c r="A11" s="421" t="s">
        <v>301</v>
      </c>
      <c r="B11" s="3"/>
      <c r="C11" s="3"/>
      <c r="D11" s="3"/>
      <c r="E11" s="3"/>
      <c r="F11" s="3"/>
      <c r="G11" s="3"/>
      <c r="H11" s="329"/>
      <c r="I11" s="329"/>
      <c r="J11" s="329"/>
      <c r="K11" s="330"/>
      <c r="L11" s="403"/>
      <c r="M11" s="399">
        <v>17.2289156626506</v>
      </c>
      <c r="N11" s="399">
        <v>16</v>
      </c>
    </row>
    <row r="12" spans="1:14" ht="15" customHeight="1" x14ac:dyDescent="0.15">
      <c r="A12" s="421" t="s">
        <v>302</v>
      </c>
      <c r="B12" s="3"/>
      <c r="C12" s="3"/>
      <c r="D12" s="3"/>
      <c r="E12" s="3"/>
      <c r="F12" s="3"/>
      <c r="G12" s="3"/>
      <c r="H12" s="329"/>
      <c r="I12" s="329"/>
      <c r="J12" s="329"/>
      <c r="K12" s="330"/>
      <c r="L12" s="403"/>
      <c r="M12" s="399">
        <v>7.0180722891566303</v>
      </c>
      <c r="N12" s="399">
        <v>7.1</v>
      </c>
    </row>
    <row r="13" spans="1:14" ht="15" customHeight="1" x14ac:dyDescent="0.15">
      <c r="A13" s="421" t="s">
        <v>303</v>
      </c>
      <c r="B13" s="3"/>
      <c r="C13" s="3"/>
      <c r="D13" s="3"/>
      <c r="E13" s="3"/>
      <c r="F13" s="3"/>
      <c r="G13" s="3"/>
      <c r="H13" s="329"/>
      <c r="I13" s="329"/>
      <c r="J13" s="329"/>
      <c r="K13" s="330"/>
      <c r="L13" s="403"/>
      <c r="M13" s="399">
        <v>27.921686746988001</v>
      </c>
      <c r="N13" s="399">
        <v>27.8</v>
      </c>
    </row>
    <row r="14" spans="1:14" ht="15" customHeight="1" x14ac:dyDescent="0.15">
      <c r="A14" s="421" t="s">
        <v>233</v>
      </c>
      <c r="B14" s="3"/>
      <c r="C14" s="3"/>
      <c r="D14" s="3"/>
      <c r="E14" s="2">
        <f>(39/131)*100</f>
        <v>29.770992366412212</v>
      </c>
      <c r="F14" s="3"/>
      <c r="G14" s="2">
        <f>(69/266)*100</f>
        <v>25.939849624060152</v>
      </c>
      <c r="H14" s="2">
        <f>(114/422)*100</f>
        <v>27.014218009478675</v>
      </c>
      <c r="I14" s="2">
        <f>(151/664)*100</f>
        <v>22.740963855421686</v>
      </c>
      <c r="J14" s="2">
        <f>(35/205)*100</f>
        <v>17.073170731707318</v>
      </c>
      <c r="K14" s="326" t="s">
        <v>234</v>
      </c>
      <c r="L14" s="402">
        <v>19.66824644549763</v>
      </c>
      <c r="M14" s="399">
        <v>23.544303797468402</v>
      </c>
      <c r="N14" s="399">
        <v>18</v>
      </c>
    </row>
    <row r="15" spans="1:14" ht="15" customHeight="1" x14ac:dyDescent="0.15">
      <c r="A15" s="421" t="s">
        <v>305</v>
      </c>
      <c r="B15" s="3"/>
      <c r="C15" s="3"/>
      <c r="D15" s="3"/>
      <c r="E15" s="3"/>
      <c r="F15" s="3"/>
      <c r="G15" s="3"/>
      <c r="H15" s="329"/>
      <c r="I15" s="329"/>
      <c r="J15" s="329"/>
      <c r="K15" s="330"/>
      <c r="L15" s="403"/>
      <c r="M15" s="399">
        <v>23.560209424083801</v>
      </c>
      <c r="N15" s="399">
        <v>20.100000000000001</v>
      </c>
    </row>
    <row r="16" spans="1:14" ht="15" customHeight="1" x14ac:dyDescent="0.15">
      <c r="A16" s="421" t="s">
        <v>235</v>
      </c>
      <c r="B16" s="2">
        <f>(291/355)*100</f>
        <v>81.971830985915489</v>
      </c>
      <c r="C16" s="2">
        <f>(421/496)*100</f>
        <v>84.879032258064512</v>
      </c>
      <c r="D16" s="2">
        <f>(1065/1312)*100</f>
        <v>81.173780487804876</v>
      </c>
      <c r="E16" s="2">
        <f>(411/615)*100</f>
        <v>66.829268292682926</v>
      </c>
      <c r="F16" s="2">
        <f>(859/1060)*100</f>
        <v>81.037735849056602</v>
      </c>
      <c r="G16" s="2">
        <f>(672/979)*100</f>
        <v>68.6414708886619</v>
      </c>
      <c r="H16" s="2">
        <f>(875/1240)*100</f>
        <v>70.564516129032256</v>
      </c>
      <c r="I16" s="2">
        <f>(756/1095)*100</f>
        <v>69.041095890410958</v>
      </c>
      <c r="J16" s="2">
        <f>(488/729)*100</f>
        <v>66.94101508916323</v>
      </c>
      <c r="K16" s="326" t="s">
        <v>236</v>
      </c>
      <c r="L16" s="402">
        <v>66.572438162544174</v>
      </c>
      <c r="M16" s="399">
        <v>61.615384615384599</v>
      </c>
      <c r="N16" s="399">
        <v>64.900000000000006</v>
      </c>
    </row>
    <row r="17" spans="1:14" ht="15" customHeight="1" x14ac:dyDescent="0.15">
      <c r="A17" s="421" t="s">
        <v>307</v>
      </c>
      <c r="B17" s="3"/>
      <c r="C17" s="3"/>
      <c r="D17" s="3"/>
      <c r="E17" s="3"/>
      <c r="F17" s="3"/>
      <c r="G17" s="3"/>
      <c r="H17" s="329"/>
      <c r="I17" s="329"/>
      <c r="J17" s="329"/>
      <c r="K17" s="330"/>
      <c r="L17" s="403"/>
      <c r="M17" s="399">
        <v>62.1</v>
      </c>
      <c r="N17" s="399">
        <v>63.2</v>
      </c>
    </row>
    <row r="18" spans="1:14" ht="15" customHeight="1" x14ac:dyDescent="0.15">
      <c r="A18" s="421" t="s">
        <v>10</v>
      </c>
      <c r="B18" s="2">
        <f>(191/416)*100</f>
        <v>45.913461538461533</v>
      </c>
      <c r="C18" s="2">
        <f>(245/488)*100</f>
        <v>50.204918032786885</v>
      </c>
      <c r="D18" s="2">
        <f>(443/907)*100</f>
        <v>48.842337375964718</v>
      </c>
      <c r="E18" s="2">
        <f>(106/221)*100</f>
        <v>47.963800904977376</v>
      </c>
      <c r="F18" s="2">
        <f>(380/726)*100</f>
        <v>52.341597796143247</v>
      </c>
      <c r="G18" s="2">
        <f>(372/675)*100</f>
        <v>55.111111111111114</v>
      </c>
      <c r="H18" s="2">
        <f>(502/855)*100</f>
        <v>58.71345029239766</v>
      </c>
      <c r="I18" s="2">
        <f>(520/864)*100</f>
        <v>60.185185185185183</v>
      </c>
      <c r="J18" s="2">
        <f>(249/422)*100</f>
        <v>59.004739336492896</v>
      </c>
      <c r="K18" s="326" t="s">
        <v>237</v>
      </c>
      <c r="L18" s="402">
        <v>62.476190476190474</v>
      </c>
      <c r="M18" s="399">
        <v>64.451158106747201</v>
      </c>
      <c r="N18" s="399">
        <v>67.7</v>
      </c>
    </row>
    <row r="19" spans="1:14" ht="15" customHeight="1" x14ac:dyDescent="0.15">
      <c r="A19" s="421" t="s">
        <v>11</v>
      </c>
      <c r="B19" s="2">
        <f>(53/237)*100</f>
        <v>22.362869198312236</v>
      </c>
      <c r="C19" s="2">
        <f>(96/345)*100</f>
        <v>27.826086956521738</v>
      </c>
      <c r="D19" s="2">
        <f>(225/651)*100</f>
        <v>34.562211981566819</v>
      </c>
      <c r="E19" s="327">
        <f>(66/193)*100</f>
        <v>34.196891191709845</v>
      </c>
      <c r="F19" s="327">
        <f>(231/629)*100</f>
        <v>36.724960254372021</v>
      </c>
      <c r="G19" s="327">
        <f>(249/622)*100</f>
        <v>40.032154340836016</v>
      </c>
      <c r="H19" s="327">
        <f>(287/754)*100</f>
        <v>38.063660477453581</v>
      </c>
      <c r="I19" s="327">
        <f>(213/511)*100</f>
        <v>41.682974559686883</v>
      </c>
      <c r="J19" s="327">
        <f>(176/427)*100</f>
        <v>41.217798594847778</v>
      </c>
      <c r="K19" s="328" t="s">
        <v>238</v>
      </c>
      <c r="L19" s="404">
        <v>41.343424787133401</v>
      </c>
      <c r="M19" s="406">
        <v>41.025641025641001</v>
      </c>
      <c r="N19" s="406">
        <v>43.2</v>
      </c>
    </row>
    <row r="20" spans="1:14" ht="15" customHeight="1" x14ac:dyDescent="0.15">
      <c r="A20" s="421" t="s">
        <v>14</v>
      </c>
      <c r="B20" s="2">
        <f>(419/2205)*100</f>
        <v>19.002267573696145</v>
      </c>
      <c r="C20" s="2">
        <f>(583/2998)*100</f>
        <v>19.446297531687794</v>
      </c>
      <c r="D20" s="2">
        <f>(875/5111)*100</f>
        <v>17.11993738994326</v>
      </c>
      <c r="E20" s="3"/>
      <c r="F20" s="2">
        <f>(822/4748)*100</f>
        <v>17.312552653748948</v>
      </c>
      <c r="G20" s="2">
        <f>(644/4251)*100</f>
        <v>15.149376617266524</v>
      </c>
      <c r="H20" s="2">
        <f>(928/6058)*100</f>
        <v>15.318586992406736</v>
      </c>
      <c r="I20" s="2">
        <f>(1035/5777)*100</f>
        <v>17.915873290635279</v>
      </c>
      <c r="J20" s="2">
        <f>(362/2882)*100</f>
        <v>12.560721721027065</v>
      </c>
      <c r="K20" s="325">
        <v>15.656779661016948</v>
      </c>
      <c r="L20" s="402">
        <v>14.896041013956138</v>
      </c>
      <c r="M20" s="399">
        <v>14.4427710843373</v>
      </c>
      <c r="N20" s="399">
        <v>15.1</v>
      </c>
    </row>
    <row r="21" spans="1:14" ht="15" customHeight="1" x14ac:dyDescent="0.15">
      <c r="A21" s="421" t="s">
        <v>15</v>
      </c>
      <c r="B21" s="2">
        <f>(520/2205)*100</f>
        <v>23.582766439909296</v>
      </c>
      <c r="C21" s="2">
        <f>(742/2998)*100</f>
        <v>24.749833222148098</v>
      </c>
      <c r="D21" s="2">
        <f>(1319/5111)*100</f>
        <v>25.807082762668752</v>
      </c>
      <c r="E21" s="3"/>
      <c r="F21" s="2">
        <f>(1252/4748)*100</f>
        <v>26.368997472620048</v>
      </c>
      <c r="G21" s="2">
        <f>(1172/4251)*100</f>
        <v>27.569983533286287</v>
      </c>
      <c r="H21" s="2">
        <f>(1680/6058)*100</f>
        <v>27.731924727632883</v>
      </c>
      <c r="I21" s="2">
        <f>(1664/5777)*100</f>
        <v>28.803877445040676</v>
      </c>
      <c r="J21" s="2">
        <f>(869/2882)*100</f>
        <v>30.152671755725191</v>
      </c>
      <c r="K21" s="325">
        <v>28.8135593220339</v>
      </c>
      <c r="L21" s="402">
        <v>28.083167188835091</v>
      </c>
      <c r="M21" s="399">
        <v>27.1987951807229</v>
      </c>
      <c r="N21" s="399">
        <v>26.2</v>
      </c>
    </row>
    <row r="22" spans="1:14" ht="15" customHeight="1" x14ac:dyDescent="0.15">
      <c r="A22" s="421" t="s">
        <v>239</v>
      </c>
      <c r="B22" s="3"/>
      <c r="C22" s="3"/>
      <c r="D22" s="3"/>
      <c r="E22" s="3"/>
      <c r="F22" s="3"/>
      <c r="G22" s="3"/>
      <c r="H22" s="2">
        <f>(855/6058)*100</f>
        <v>14.113568834598878</v>
      </c>
      <c r="I22" s="2">
        <f>(997/5777)*100</f>
        <v>17.258092435520169</v>
      </c>
      <c r="J22" s="2">
        <f>(521/2882)*100</f>
        <v>18.07772380291464</v>
      </c>
      <c r="K22" s="325">
        <v>19.131355932203391</v>
      </c>
      <c r="L22" s="402">
        <v>17.915123896325831</v>
      </c>
      <c r="M22" s="399">
        <v>20.5120481927711</v>
      </c>
      <c r="N22" s="399">
        <v>21.2</v>
      </c>
    </row>
    <row r="23" spans="1:14" ht="15" customHeight="1" x14ac:dyDescent="0.15">
      <c r="A23" s="421" t="s">
        <v>240</v>
      </c>
      <c r="B23" s="3"/>
      <c r="C23" s="3"/>
      <c r="D23" s="3"/>
      <c r="E23" s="3"/>
      <c r="F23" s="3"/>
      <c r="G23" s="3"/>
      <c r="H23" s="2">
        <f>(1872/6058)*100</f>
        <v>30.901287553648071</v>
      </c>
      <c r="I23" s="2">
        <f>(1859/5777)*100</f>
        <v>32.179331833131378</v>
      </c>
      <c r="J23" s="2">
        <f>(1011/2882)*100</f>
        <v>35.079805690492719</v>
      </c>
      <c r="K23" s="325">
        <v>35.042372881355931</v>
      </c>
      <c r="L23" s="402">
        <v>32.896610652235829</v>
      </c>
      <c r="M23" s="399">
        <v>34.337349397590401</v>
      </c>
      <c r="N23" s="399">
        <v>34.5</v>
      </c>
    </row>
    <row r="24" spans="1:14" ht="15" customHeight="1" x14ac:dyDescent="0.15">
      <c r="A24" s="421" t="s">
        <v>241</v>
      </c>
      <c r="B24" s="3"/>
      <c r="C24" s="3"/>
      <c r="D24" s="3"/>
      <c r="E24" s="3"/>
      <c r="F24" s="3"/>
      <c r="G24" s="3"/>
      <c r="H24" s="2">
        <f>(931/6058)*100</f>
        <v>15.368108286563222</v>
      </c>
      <c r="I24" s="2">
        <f>(1016/5777)*100</f>
        <v>17.586982863077722</v>
      </c>
      <c r="J24" s="2">
        <f>(616/2882)*100</f>
        <v>21.374045801526716</v>
      </c>
      <c r="K24" s="325">
        <v>20.974576271186439</v>
      </c>
      <c r="L24" s="402">
        <v>20.549700939903161</v>
      </c>
      <c r="M24" s="399">
        <v>23.0722891566265</v>
      </c>
      <c r="N24" s="399">
        <v>23.8</v>
      </c>
    </row>
    <row r="25" spans="1:14" ht="15" customHeight="1" x14ac:dyDescent="0.15">
      <c r="A25" s="421" t="s">
        <v>242</v>
      </c>
      <c r="B25" s="3"/>
      <c r="C25" s="3"/>
      <c r="D25" s="3"/>
      <c r="E25" s="3"/>
      <c r="F25" s="3"/>
      <c r="G25" s="3"/>
      <c r="H25" s="2">
        <f>(321/6058)*100</f>
        <v>5.2987784747441395</v>
      </c>
      <c r="I25" s="2">
        <f>(271/5777)*100</f>
        <v>4.6910160983209277</v>
      </c>
      <c r="J25" s="2">
        <f>(162/2882)*100</f>
        <v>5.6210964607911178</v>
      </c>
      <c r="K25" s="325">
        <v>6.5889830508474576</v>
      </c>
      <c r="L25" s="402">
        <v>5.8387923668470521</v>
      </c>
      <c r="M25" s="399">
        <v>6.6716867469879499</v>
      </c>
      <c r="N25" s="399">
        <v>8</v>
      </c>
    </row>
    <row r="26" spans="1:14" ht="15" customHeight="1" x14ac:dyDescent="0.15">
      <c r="A26" s="421" t="s">
        <v>243</v>
      </c>
      <c r="B26" s="3"/>
      <c r="C26" s="3"/>
      <c r="D26" s="3"/>
      <c r="E26" s="3"/>
      <c r="F26" s="3"/>
      <c r="G26" s="3"/>
      <c r="H26" s="2">
        <f>(601/6058)*100</f>
        <v>9.9207659293496206</v>
      </c>
      <c r="I26" s="2">
        <f>(836/5777)*100</f>
        <v>14.471178812532456</v>
      </c>
      <c r="J26" s="2">
        <f>(547/2882)*100</f>
        <v>18.979875086745317</v>
      </c>
      <c r="K26" s="325">
        <v>20</v>
      </c>
      <c r="L26" s="402">
        <v>20.563941896895471</v>
      </c>
      <c r="M26" s="399">
        <v>24.1867469879518</v>
      </c>
      <c r="N26" s="399">
        <v>27.5</v>
      </c>
    </row>
    <row r="27" spans="1:14" ht="15" customHeight="1" x14ac:dyDescent="0.15">
      <c r="A27" s="421" t="s">
        <v>244</v>
      </c>
      <c r="B27" s="3"/>
      <c r="C27" s="3"/>
      <c r="D27" s="3"/>
      <c r="E27" s="3"/>
      <c r="F27" s="3"/>
      <c r="G27" s="3"/>
      <c r="H27" s="2">
        <f>(196/6058)*100</f>
        <v>3.2353912182238362</v>
      </c>
      <c r="I27" s="2">
        <f>(312/5777)*100</f>
        <v>5.4007270209451272</v>
      </c>
      <c r="J27" s="2">
        <f>(200/2882)*100</f>
        <v>6.9396252602359469</v>
      </c>
      <c r="K27" s="325">
        <v>8.1355932203389827</v>
      </c>
      <c r="L27" s="402">
        <v>8.1743093135858729</v>
      </c>
      <c r="M27" s="399">
        <v>8.7801204819277103</v>
      </c>
      <c r="N27" s="399">
        <v>10.9</v>
      </c>
    </row>
    <row r="28" spans="1:14" ht="15" customHeight="1" x14ac:dyDescent="0.15">
      <c r="A28" s="421" t="s">
        <v>245</v>
      </c>
      <c r="B28" s="3"/>
      <c r="C28" s="3"/>
      <c r="D28" s="3"/>
      <c r="E28" s="3"/>
      <c r="F28" s="3"/>
      <c r="G28" s="3"/>
      <c r="H28" s="329"/>
      <c r="I28" s="329"/>
      <c r="J28" s="329"/>
      <c r="K28" s="330"/>
      <c r="L28" s="402">
        <v>48.348048988892053</v>
      </c>
      <c r="M28" s="399">
        <v>48.3734939759036</v>
      </c>
      <c r="N28" s="399">
        <v>50.5</v>
      </c>
    </row>
    <row r="29" spans="1:14" ht="15" customHeight="1" x14ac:dyDescent="0.15">
      <c r="A29" s="421" t="s">
        <v>246</v>
      </c>
      <c r="B29" s="3"/>
      <c r="C29" s="3"/>
      <c r="D29" s="3"/>
      <c r="E29" s="3"/>
      <c r="F29" s="3"/>
      <c r="G29" s="3"/>
      <c r="H29" s="329"/>
      <c r="I29" s="329"/>
      <c r="J29" s="329"/>
      <c r="K29" s="330"/>
      <c r="L29" s="402">
        <v>18.21418399316434</v>
      </c>
      <c r="M29" s="399">
        <v>18.554216867469901</v>
      </c>
      <c r="N29" s="399">
        <v>16.899999999999999</v>
      </c>
    </row>
    <row r="30" spans="1:14" ht="15" customHeight="1" x14ac:dyDescent="0.15">
      <c r="A30" s="421" t="s">
        <v>247</v>
      </c>
      <c r="B30" s="3"/>
      <c r="C30" s="3"/>
      <c r="D30" s="3"/>
      <c r="E30" s="3"/>
      <c r="F30" s="3"/>
      <c r="G30" s="3"/>
      <c r="H30" s="329"/>
      <c r="I30" s="329"/>
      <c r="J30" s="329"/>
      <c r="K30" s="330"/>
      <c r="L30" s="402">
        <v>18.897749928795214</v>
      </c>
      <c r="M30" s="399">
        <v>19.743975903614501</v>
      </c>
      <c r="N30" s="399">
        <v>19.399999999999999</v>
      </c>
    </row>
    <row r="31" spans="1:14" ht="15" customHeight="1" x14ac:dyDescent="0.15">
      <c r="A31" s="421" t="s">
        <v>248</v>
      </c>
      <c r="B31" s="3"/>
      <c r="C31" s="3"/>
      <c r="D31" s="3"/>
      <c r="E31" s="3"/>
      <c r="F31" s="3"/>
      <c r="G31" s="3"/>
      <c r="H31" s="329"/>
      <c r="I31" s="329"/>
      <c r="J31" s="329"/>
      <c r="K31" s="330"/>
      <c r="L31" s="402">
        <v>18.299629735118199</v>
      </c>
      <c r="M31" s="399">
        <v>20.632530120481899</v>
      </c>
      <c r="N31" s="399">
        <v>19.8</v>
      </c>
    </row>
    <row r="32" spans="1:14" ht="15" customHeight="1" x14ac:dyDescent="0.15">
      <c r="A32" s="422" t="s">
        <v>249</v>
      </c>
      <c r="B32" s="395"/>
      <c r="C32" s="395"/>
      <c r="D32" s="395"/>
      <c r="E32" s="395"/>
      <c r="F32" s="395"/>
      <c r="G32" s="395"/>
      <c r="H32" s="396"/>
      <c r="I32" s="396"/>
      <c r="J32" s="396"/>
      <c r="K32" s="397"/>
      <c r="L32" s="405">
        <v>59.441754485901455</v>
      </c>
      <c r="M32" s="399">
        <v>57.394578313253</v>
      </c>
      <c r="N32" s="399">
        <v>59.4</v>
      </c>
    </row>
    <row r="33" spans="1:14" ht="15" customHeight="1" x14ac:dyDescent="0.15">
      <c r="A33" s="398" t="s">
        <v>306</v>
      </c>
      <c r="B33" s="3"/>
      <c r="C33" s="3"/>
      <c r="D33" s="3"/>
      <c r="E33" s="3"/>
      <c r="F33" s="3"/>
      <c r="G33" s="3"/>
      <c r="H33" s="329"/>
      <c r="I33" s="329"/>
      <c r="J33" s="329"/>
      <c r="K33" s="330"/>
      <c r="L33" s="330"/>
      <c r="M33" s="399">
        <v>18.539156626505999</v>
      </c>
      <c r="N33" s="399">
        <v>16.8</v>
      </c>
    </row>
    <row r="34" spans="1:14" x14ac:dyDescent="0.15">
      <c r="A34" s="1" t="s">
        <v>250</v>
      </c>
    </row>
    <row r="35" spans="1:14" x14ac:dyDescent="0.15">
      <c r="A35" s="1" t="s">
        <v>251</v>
      </c>
      <c r="I35" s="8"/>
    </row>
    <row r="36" spans="1:14" x14ac:dyDescent="0.15">
      <c r="A36" s="424" t="s">
        <v>252</v>
      </c>
      <c r="B36" s="424"/>
      <c r="C36" s="424"/>
      <c r="D36" s="424"/>
      <c r="E36" s="424"/>
      <c r="F36" s="424"/>
      <c r="G36" s="424"/>
      <c r="H36" s="424"/>
      <c r="I36" s="247"/>
    </row>
    <row r="37" spans="1:14" x14ac:dyDescent="0.15">
      <c r="A37" s="424" t="s">
        <v>17</v>
      </c>
      <c r="B37" s="424"/>
      <c r="C37" s="424"/>
      <c r="D37" s="424"/>
      <c r="E37" s="424"/>
      <c r="F37" s="424"/>
      <c r="G37" s="424"/>
      <c r="H37" s="424"/>
      <c r="I37" s="247"/>
    </row>
    <row r="38" spans="1:14" x14ac:dyDescent="0.15">
      <c r="A38" s="1" t="s">
        <v>253</v>
      </c>
      <c r="I38" s="8"/>
    </row>
    <row r="39" spans="1:14" x14ac:dyDescent="0.15">
      <c r="A39" s="1" t="s">
        <v>254</v>
      </c>
    </row>
    <row r="40" spans="1:14" x14ac:dyDescent="0.15">
      <c r="A40" s="1" t="s">
        <v>299</v>
      </c>
      <c r="K40" s="331"/>
      <c r="L40" s="331"/>
    </row>
  </sheetData>
  <mergeCells count="2">
    <mergeCell ref="A36:H36"/>
    <mergeCell ref="A37:H37"/>
  </mergeCells>
  <phoneticPr fontId="9"/>
  <pageMargins left="0.7" right="0.7" top="0.75" bottom="0.75" header="0.3" footer="0.3"/>
  <pageSetup paperSize="9" scale="6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48"/>
  <sheetViews>
    <sheetView topLeftCell="B22" zoomScaleNormal="100" workbookViewId="0">
      <selection activeCell="H76" sqref="H76"/>
    </sheetView>
  </sheetViews>
  <sheetFormatPr defaultRowHeight="18.75" x14ac:dyDescent="0.4"/>
  <cols>
    <col min="1" max="16384" width="9" style="9"/>
  </cols>
  <sheetData>
    <row r="1" spans="1:15" ht="26.25" customHeight="1" x14ac:dyDescent="0.4">
      <c r="B1" s="73" t="s">
        <v>169</v>
      </c>
    </row>
    <row r="2" spans="1:15" ht="21.75" customHeight="1" x14ac:dyDescent="0.4">
      <c r="B2" s="72"/>
    </row>
    <row r="3" spans="1:15" ht="18" customHeight="1" x14ac:dyDescent="0.4">
      <c r="B3" s="70" t="s">
        <v>111</v>
      </c>
    </row>
    <row r="4" spans="1:15" ht="15" customHeight="1" x14ac:dyDescent="0.4">
      <c r="B4" s="34" t="s">
        <v>168</v>
      </c>
    </row>
    <row r="5" spans="1:15" ht="15" customHeight="1" x14ac:dyDescent="0.4">
      <c r="B5" s="34" t="s">
        <v>167</v>
      </c>
    </row>
    <row r="6" spans="1:15" ht="15" customHeight="1" x14ac:dyDescent="0.4">
      <c r="A6" s="9" t="s">
        <v>108</v>
      </c>
      <c r="B6" s="34" t="s">
        <v>166</v>
      </c>
    </row>
    <row r="7" spans="1:15" ht="13.5" customHeight="1" x14ac:dyDescent="0.4">
      <c r="B7" s="34"/>
      <c r="G7" s="27"/>
    </row>
    <row r="8" spans="1:15" ht="13.5" customHeight="1" x14ac:dyDescent="0.4">
      <c r="B8" s="34"/>
    </row>
    <row r="9" spans="1:15" ht="18" customHeight="1" x14ac:dyDescent="0.4">
      <c r="B9" s="70" t="s">
        <v>106</v>
      </c>
    </row>
    <row r="10" spans="1:15" x14ac:dyDescent="0.4">
      <c r="B10" s="34"/>
    </row>
    <row r="11" spans="1:15" x14ac:dyDescent="0.4">
      <c r="B11" s="9" t="s">
        <v>105</v>
      </c>
    </row>
    <row r="13" spans="1:15" x14ac:dyDescent="0.4">
      <c r="F13" s="69"/>
      <c r="O13" s="26" t="s">
        <v>32</v>
      </c>
    </row>
    <row r="14" spans="1:15" x14ac:dyDescent="0.4">
      <c r="B14" s="47" t="s">
        <v>104</v>
      </c>
      <c r="C14" s="104" t="s">
        <v>165</v>
      </c>
      <c r="D14" s="103">
        <v>0.45400000000000001</v>
      </c>
      <c r="E14" s="66"/>
      <c r="F14" s="25"/>
      <c r="G14" s="23" t="s">
        <v>31</v>
      </c>
      <c r="H14" s="22" t="s">
        <v>30</v>
      </c>
      <c r="I14" s="22" t="s">
        <v>29</v>
      </c>
      <c r="J14" s="22" t="s">
        <v>28</v>
      </c>
      <c r="K14" s="22" t="s">
        <v>27</v>
      </c>
      <c r="L14" s="22" t="s">
        <v>26</v>
      </c>
      <c r="M14" s="24" t="s">
        <v>25</v>
      </c>
      <c r="N14" s="23" t="s">
        <v>24</v>
      </c>
      <c r="O14" s="22" t="s">
        <v>23</v>
      </c>
    </row>
    <row r="15" spans="1:15" x14ac:dyDescent="0.4">
      <c r="B15" s="47" t="s">
        <v>102</v>
      </c>
      <c r="C15" s="9" t="s">
        <v>164</v>
      </c>
      <c r="D15" s="103">
        <v>0.54600000000000004</v>
      </c>
      <c r="E15" s="66"/>
      <c r="F15" s="21" t="s">
        <v>100</v>
      </c>
      <c r="G15" s="90">
        <v>140</v>
      </c>
      <c r="H15" s="95">
        <v>223</v>
      </c>
      <c r="I15" s="95">
        <v>253</v>
      </c>
      <c r="J15" s="95">
        <v>259</v>
      </c>
      <c r="K15" s="95">
        <v>205</v>
      </c>
      <c r="L15" s="95">
        <v>204</v>
      </c>
      <c r="M15" s="96">
        <v>75</v>
      </c>
      <c r="N15" s="90">
        <v>1</v>
      </c>
      <c r="O15" s="95">
        <f>SUM(G15:N15)</f>
        <v>1360</v>
      </c>
    </row>
    <row r="16" spans="1:15" x14ac:dyDescent="0.4">
      <c r="B16" s="47" t="s">
        <v>99</v>
      </c>
      <c r="C16" s="9" t="s">
        <v>163</v>
      </c>
      <c r="E16" s="65"/>
      <c r="F16" s="21" t="s">
        <v>97</v>
      </c>
      <c r="G16" s="90">
        <v>177</v>
      </c>
      <c r="H16" s="95">
        <v>267</v>
      </c>
      <c r="I16" s="95">
        <v>245</v>
      </c>
      <c r="J16" s="95">
        <v>231</v>
      </c>
      <c r="K16" s="95">
        <v>291</v>
      </c>
      <c r="L16" s="95">
        <v>324</v>
      </c>
      <c r="M16" s="96">
        <v>97</v>
      </c>
      <c r="N16" s="90">
        <v>6</v>
      </c>
      <c r="O16" s="95">
        <f>SUM(G16:N16)</f>
        <v>1638</v>
      </c>
    </row>
    <row r="17" spans="2:15" x14ac:dyDescent="0.4">
      <c r="E17" s="27"/>
      <c r="F17" s="23" t="s">
        <v>23</v>
      </c>
      <c r="G17" s="89">
        <v>317</v>
      </c>
      <c r="H17" s="89">
        <v>490</v>
      </c>
      <c r="I17" s="89">
        <v>498</v>
      </c>
      <c r="J17" s="89">
        <v>490</v>
      </c>
      <c r="K17" s="89">
        <v>496</v>
      </c>
      <c r="L17" s="89">
        <v>528</v>
      </c>
      <c r="M17" s="69">
        <v>172</v>
      </c>
      <c r="N17" s="90">
        <v>7</v>
      </c>
      <c r="O17" s="89">
        <f>SUM(G17:N17)</f>
        <v>2998</v>
      </c>
    </row>
    <row r="18" spans="2:15" x14ac:dyDescent="0.4">
      <c r="B18" s="47" t="s">
        <v>96</v>
      </c>
      <c r="C18" s="9" t="s">
        <v>95</v>
      </c>
      <c r="F18" s="64" t="s">
        <v>94</v>
      </c>
      <c r="G18" s="93">
        <v>0.106</v>
      </c>
      <c r="H18" s="93">
        <v>0.16300000000000001</v>
      </c>
      <c r="I18" s="93">
        <v>0.16600000000000001</v>
      </c>
      <c r="J18" s="92">
        <v>0.16300000000000001</v>
      </c>
      <c r="K18" s="93">
        <v>0.16500000000000001</v>
      </c>
      <c r="L18" s="92">
        <v>0.17599999999999999</v>
      </c>
      <c r="M18" s="92">
        <v>5.7000000000000002E-2</v>
      </c>
      <c r="N18" s="92">
        <v>2E-3</v>
      </c>
      <c r="O18" s="102"/>
    </row>
    <row r="19" spans="2:15" x14ac:dyDescent="0.4">
      <c r="B19" s="47" t="s">
        <v>93</v>
      </c>
      <c r="C19" s="9" t="s">
        <v>154</v>
      </c>
      <c r="G19" s="62"/>
      <c r="H19" s="61"/>
      <c r="I19" s="61"/>
      <c r="J19" s="61"/>
      <c r="K19" s="61"/>
      <c r="L19" s="61"/>
      <c r="M19" s="61"/>
      <c r="N19" s="29"/>
    </row>
    <row r="20" spans="2:15" x14ac:dyDescent="0.4">
      <c r="B20" s="60" t="s">
        <v>91</v>
      </c>
      <c r="C20" s="9" t="s">
        <v>162</v>
      </c>
      <c r="N20" s="27"/>
    </row>
    <row r="21" spans="2:15" x14ac:dyDescent="0.4">
      <c r="M21" s="27"/>
    </row>
    <row r="23" spans="2:15" x14ac:dyDescent="0.4">
      <c r="B23" s="9" t="s">
        <v>89</v>
      </c>
      <c r="O23" s="26"/>
    </row>
    <row r="24" spans="2:15" x14ac:dyDescent="0.4">
      <c r="O24" s="26" t="s">
        <v>32</v>
      </c>
    </row>
    <row r="25" spans="2:15" x14ac:dyDescent="0.4">
      <c r="C25" s="9" t="s">
        <v>88</v>
      </c>
      <c r="F25" s="25"/>
      <c r="G25" s="23" t="s">
        <v>31</v>
      </c>
      <c r="H25" s="22" t="s">
        <v>30</v>
      </c>
      <c r="I25" s="22" t="s">
        <v>29</v>
      </c>
      <c r="J25" s="22" t="s">
        <v>28</v>
      </c>
      <c r="K25" s="22" t="s">
        <v>27</v>
      </c>
      <c r="L25" s="22" t="s">
        <v>26</v>
      </c>
      <c r="M25" s="24" t="s">
        <v>25</v>
      </c>
      <c r="N25" s="23" t="s">
        <v>24</v>
      </c>
      <c r="O25" s="22" t="s">
        <v>23</v>
      </c>
    </row>
    <row r="26" spans="2:15" x14ac:dyDescent="0.4">
      <c r="C26" s="9" t="s">
        <v>87</v>
      </c>
      <c r="F26" s="21">
        <v>1</v>
      </c>
      <c r="G26" s="90">
        <v>27</v>
      </c>
      <c r="H26" s="95">
        <v>46</v>
      </c>
      <c r="I26" s="95">
        <v>91</v>
      </c>
      <c r="J26" s="95">
        <v>95</v>
      </c>
      <c r="K26" s="95">
        <v>121</v>
      </c>
      <c r="L26" s="95">
        <v>180</v>
      </c>
      <c r="M26" s="96">
        <v>57</v>
      </c>
      <c r="N26" s="90">
        <v>4</v>
      </c>
      <c r="O26" s="95">
        <f t="shared" ref="O26:O31" si="0">SUM(G26:N26)</f>
        <v>621</v>
      </c>
    </row>
    <row r="27" spans="2:15" x14ac:dyDescent="0.4">
      <c r="C27" s="9" t="s">
        <v>86</v>
      </c>
      <c r="F27" s="21">
        <v>2</v>
      </c>
      <c r="G27" s="90">
        <v>46</v>
      </c>
      <c r="H27" s="95">
        <v>92</v>
      </c>
      <c r="I27" s="95">
        <v>89</v>
      </c>
      <c r="J27" s="95">
        <v>77</v>
      </c>
      <c r="K27" s="95">
        <v>78</v>
      </c>
      <c r="L27" s="95">
        <v>67</v>
      </c>
      <c r="M27" s="96">
        <v>20</v>
      </c>
      <c r="N27" s="90">
        <v>0</v>
      </c>
      <c r="O27" s="95">
        <f t="shared" si="0"/>
        <v>469</v>
      </c>
    </row>
    <row r="28" spans="2:15" x14ac:dyDescent="0.4">
      <c r="C28" s="9" t="s">
        <v>85</v>
      </c>
      <c r="F28" s="21">
        <v>3</v>
      </c>
      <c r="G28" s="90">
        <v>56</v>
      </c>
      <c r="H28" s="95">
        <v>114</v>
      </c>
      <c r="I28" s="95">
        <v>105</v>
      </c>
      <c r="J28" s="95">
        <v>90</v>
      </c>
      <c r="K28" s="95">
        <v>67</v>
      </c>
      <c r="L28" s="95">
        <v>47</v>
      </c>
      <c r="M28" s="96">
        <v>9</v>
      </c>
      <c r="N28" s="90">
        <v>0</v>
      </c>
      <c r="O28" s="95">
        <f t="shared" si="0"/>
        <v>488</v>
      </c>
    </row>
    <row r="29" spans="2:15" x14ac:dyDescent="0.4">
      <c r="F29" s="19">
        <v>4</v>
      </c>
      <c r="G29" s="94">
        <v>188</v>
      </c>
      <c r="H29" s="89">
        <v>237</v>
      </c>
      <c r="I29" s="89">
        <v>213</v>
      </c>
      <c r="J29" s="89">
        <v>224</v>
      </c>
      <c r="K29" s="89">
        <v>225</v>
      </c>
      <c r="L29" s="89">
        <v>216</v>
      </c>
      <c r="M29" s="69">
        <v>65</v>
      </c>
      <c r="N29" s="90">
        <v>3</v>
      </c>
      <c r="O29" s="95">
        <f t="shared" si="0"/>
        <v>1371</v>
      </c>
    </row>
    <row r="30" spans="2:15" x14ac:dyDescent="0.4">
      <c r="F30" s="19" t="s">
        <v>151</v>
      </c>
      <c r="G30" s="94">
        <v>0</v>
      </c>
      <c r="H30" s="89">
        <v>1</v>
      </c>
      <c r="I30" s="89">
        <v>0</v>
      </c>
      <c r="J30" s="89">
        <v>4</v>
      </c>
      <c r="K30" s="89">
        <v>5</v>
      </c>
      <c r="L30" s="89">
        <v>18</v>
      </c>
      <c r="M30" s="69">
        <v>21</v>
      </c>
      <c r="N30" s="90">
        <v>0</v>
      </c>
      <c r="O30" s="95">
        <f t="shared" si="0"/>
        <v>49</v>
      </c>
    </row>
    <row r="31" spans="2:15" x14ac:dyDescent="0.4">
      <c r="B31" s="9" t="s">
        <v>54</v>
      </c>
      <c r="F31" s="13" t="s">
        <v>23</v>
      </c>
      <c r="G31" s="94">
        <f t="shared" ref="G31:N31" si="1">SUM(G26:G30)</f>
        <v>317</v>
      </c>
      <c r="H31" s="94">
        <f t="shared" si="1"/>
        <v>490</v>
      </c>
      <c r="I31" s="94">
        <f t="shared" si="1"/>
        <v>498</v>
      </c>
      <c r="J31" s="94">
        <f t="shared" si="1"/>
        <v>490</v>
      </c>
      <c r="K31" s="94">
        <f t="shared" si="1"/>
        <v>496</v>
      </c>
      <c r="L31" s="94">
        <f t="shared" si="1"/>
        <v>528</v>
      </c>
      <c r="M31" s="94">
        <f t="shared" si="1"/>
        <v>172</v>
      </c>
      <c r="N31" s="94">
        <f t="shared" si="1"/>
        <v>7</v>
      </c>
      <c r="O31" s="89">
        <f t="shared" si="0"/>
        <v>2998</v>
      </c>
    </row>
    <row r="32" spans="2:15" x14ac:dyDescent="0.4">
      <c r="B32" s="9" t="s">
        <v>141</v>
      </c>
    </row>
    <row r="33" spans="2:15" x14ac:dyDescent="0.4">
      <c r="B33" s="9" t="s">
        <v>140</v>
      </c>
      <c r="G33" s="47" t="s">
        <v>31</v>
      </c>
      <c r="H33" s="47" t="s">
        <v>30</v>
      </c>
      <c r="I33" s="47" t="s">
        <v>29</v>
      </c>
      <c r="J33" s="47" t="s">
        <v>28</v>
      </c>
      <c r="K33" s="47" t="s">
        <v>27</v>
      </c>
      <c r="L33" s="47" t="s">
        <v>26</v>
      </c>
      <c r="M33" s="47" t="s">
        <v>25</v>
      </c>
      <c r="N33" s="47" t="s">
        <v>63</v>
      </c>
    </row>
    <row r="34" spans="2:15" x14ac:dyDescent="0.4">
      <c r="G34" s="75">
        <v>0.40699999999999997</v>
      </c>
      <c r="H34" s="75">
        <v>0.51400000000000001</v>
      </c>
      <c r="I34" s="75">
        <v>0.57199999999999995</v>
      </c>
      <c r="J34" s="75">
        <v>0.53500000000000003</v>
      </c>
      <c r="K34" s="75">
        <v>0.53600000000000003</v>
      </c>
      <c r="L34" s="75">
        <v>0.55700000000000005</v>
      </c>
      <c r="M34" s="75">
        <v>0.5</v>
      </c>
      <c r="N34" s="75">
        <v>0.57099999999999995</v>
      </c>
    </row>
    <row r="38" spans="2:15" x14ac:dyDescent="0.4">
      <c r="B38" s="9" t="s">
        <v>80</v>
      </c>
      <c r="O38" s="26"/>
    </row>
    <row r="39" spans="2:15" x14ac:dyDescent="0.4">
      <c r="O39" s="26" t="s">
        <v>32</v>
      </c>
    </row>
    <row r="40" spans="2:15" x14ac:dyDescent="0.4">
      <c r="C40" s="9" t="s">
        <v>22</v>
      </c>
      <c r="D40" s="53"/>
      <c r="F40" s="25"/>
      <c r="G40" s="23" t="s">
        <v>31</v>
      </c>
      <c r="H40" s="22" t="s">
        <v>30</v>
      </c>
      <c r="I40" s="22" t="s">
        <v>29</v>
      </c>
      <c r="J40" s="22" t="s">
        <v>28</v>
      </c>
      <c r="K40" s="22" t="s">
        <v>27</v>
      </c>
      <c r="L40" s="22" t="s">
        <v>26</v>
      </c>
      <c r="M40" s="24" t="s">
        <v>25</v>
      </c>
      <c r="N40" s="23" t="s">
        <v>24</v>
      </c>
      <c r="O40" s="22" t="s">
        <v>23</v>
      </c>
    </row>
    <row r="41" spans="2:15" x14ac:dyDescent="0.4">
      <c r="C41" s="9" t="s">
        <v>75</v>
      </c>
      <c r="D41" s="53">
        <v>0.27600000000000002</v>
      </c>
      <c r="F41" s="21">
        <v>1</v>
      </c>
      <c r="G41" s="90">
        <v>65</v>
      </c>
      <c r="H41" s="95">
        <v>119</v>
      </c>
      <c r="I41" s="95">
        <v>135</v>
      </c>
      <c r="J41" s="95">
        <v>126</v>
      </c>
      <c r="K41" s="95">
        <v>146</v>
      </c>
      <c r="L41" s="95">
        <v>185</v>
      </c>
      <c r="M41" s="96">
        <v>52</v>
      </c>
      <c r="N41" s="90">
        <v>0</v>
      </c>
      <c r="O41" s="95">
        <f>SUM(G41:N41)</f>
        <v>828</v>
      </c>
    </row>
    <row r="42" spans="2:15" x14ac:dyDescent="0.4">
      <c r="C42" s="9" t="s">
        <v>74</v>
      </c>
      <c r="D42" s="53">
        <v>0.71099999999999997</v>
      </c>
      <c r="F42" s="21">
        <v>2</v>
      </c>
      <c r="G42" s="90">
        <v>251</v>
      </c>
      <c r="H42" s="95">
        <v>371</v>
      </c>
      <c r="I42" s="95">
        <v>361</v>
      </c>
      <c r="J42" s="95">
        <v>358</v>
      </c>
      <c r="K42" s="95">
        <v>342</v>
      </c>
      <c r="L42" s="95">
        <v>332</v>
      </c>
      <c r="M42" s="96">
        <v>108</v>
      </c>
      <c r="N42" s="90">
        <v>7</v>
      </c>
      <c r="O42" s="95">
        <f>SUM(G42:N42)</f>
        <v>2130</v>
      </c>
    </row>
    <row r="43" spans="2:15" x14ac:dyDescent="0.4">
      <c r="C43" s="9" t="s">
        <v>152</v>
      </c>
      <c r="D43" s="53">
        <v>1.2999999999999999E-2</v>
      </c>
      <c r="F43" s="19" t="s">
        <v>151</v>
      </c>
      <c r="G43" s="94">
        <v>1</v>
      </c>
      <c r="H43" s="89">
        <v>0</v>
      </c>
      <c r="I43" s="89">
        <v>2</v>
      </c>
      <c r="J43" s="89">
        <v>6</v>
      </c>
      <c r="K43" s="89">
        <v>8</v>
      </c>
      <c r="L43" s="89">
        <v>11</v>
      </c>
      <c r="M43" s="69">
        <v>12</v>
      </c>
      <c r="N43" s="90">
        <v>0</v>
      </c>
      <c r="O43" s="95">
        <f>SUM(G43:N43)</f>
        <v>40</v>
      </c>
    </row>
    <row r="44" spans="2:15" x14ac:dyDescent="0.4">
      <c r="F44" s="13" t="s">
        <v>23</v>
      </c>
      <c r="G44" s="94">
        <f t="shared" ref="G44:O44" si="2">SUM(G41:G43)</f>
        <v>317</v>
      </c>
      <c r="H44" s="94">
        <f t="shared" si="2"/>
        <v>490</v>
      </c>
      <c r="I44" s="94">
        <f t="shared" si="2"/>
        <v>498</v>
      </c>
      <c r="J44" s="94">
        <f t="shared" si="2"/>
        <v>490</v>
      </c>
      <c r="K44" s="94">
        <f t="shared" si="2"/>
        <v>496</v>
      </c>
      <c r="L44" s="94">
        <f t="shared" si="2"/>
        <v>528</v>
      </c>
      <c r="M44" s="94">
        <f t="shared" si="2"/>
        <v>172</v>
      </c>
      <c r="N44" s="94">
        <f t="shared" si="2"/>
        <v>7</v>
      </c>
      <c r="O44" s="94">
        <f t="shared" si="2"/>
        <v>2998</v>
      </c>
    </row>
    <row r="46" spans="2:15" x14ac:dyDescent="0.4">
      <c r="B46" s="9" t="s">
        <v>54</v>
      </c>
      <c r="G46" s="47" t="s">
        <v>31</v>
      </c>
      <c r="H46" s="47" t="s">
        <v>30</v>
      </c>
      <c r="I46" s="47" t="s">
        <v>29</v>
      </c>
      <c r="J46" s="47" t="s">
        <v>28</v>
      </c>
      <c r="K46" s="47" t="s">
        <v>27</v>
      </c>
      <c r="L46" s="47" t="s">
        <v>26</v>
      </c>
      <c r="M46" s="47" t="s">
        <v>25</v>
      </c>
      <c r="N46" s="47" t="s">
        <v>63</v>
      </c>
    </row>
    <row r="47" spans="2:15" x14ac:dyDescent="0.4">
      <c r="B47" s="9" t="s">
        <v>139</v>
      </c>
      <c r="G47" s="75">
        <v>0.20499999999999999</v>
      </c>
      <c r="H47" s="75">
        <v>0.24299999999999999</v>
      </c>
      <c r="I47" s="75">
        <v>0.27100000000000002</v>
      </c>
      <c r="J47" s="75">
        <v>0.25700000000000001</v>
      </c>
      <c r="K47" s="75">
        <v>0.29399999999999998</v>
      </c>
      <c r="L47" s="75">
        <v>0.35</v>
      </c>
      <c r="M47" s="75">
        <v>0.30199999999999999</v>
      </c>
      <c r="N47" s="75">
        <v>0</v>
      </c>
    </row>
    <row r="51" spans="2:15" x14ac:dyDescent="0.4">
      <c r="B51" s="9" t="s">
        <v>77</v>
      </c>
      <c r="O51" s="26"/>
    </row>
    <row r="52" spans="2:15" x14ac:dyDescent="0.4">
      <c r="O52" s="26" t="s">
        <v>32</v>
      </c>
    </row>
    <row r="53" spans="2:15" x14ac:dyDescent="0.4">
      <c r="B53" s="28"/>
      <c r="C53" s="9" t="s">
        <v>22</v>
      </c>
      <c r="D53" s="53"/>
      <c r="F53" s="25"/>
      <c r="G53" s="23" t="s">
        <v>31</v>
      </c>
      <c r="H53" s="22" t="s">
        <v>30</v>
      </c>
      <c r="I53" s="22" t="s">
        <v>29</v>
      </c>
      <c r="J53" s="22" t="s">
        <v>28</v>
      </c>
      <c r="K53" s="22" t="s">
        <v>27</v>
      </c>
      <c r="L53" s="22" t="s">
        <v>26</v>
      </c>
      <c r="M53" s="24" t="s">
        <v>25</v>
      </c>
      <c r="N53" s="23" t="s">
        <v>24</v>
      </c>
      <c r="O53" s="22" t="s">
        <v>23</v>
      </c>
    </row>
    <row r="54" spans="2:15" x14ac:dyDescent="0.4">
      <c r="C54" s="9" t="s">
        <v>75</v>
      </c>
      <c r="D54" s="53">
        <v>0.16700000000000001</v>
      </c>
      <c r="F54" s="21">
        <v>1</v>
      </c>
      <c r="G54" s="90">
        <v>71</v>
      </c>
      <c r="H54" s="95">
        <v>103</v>
      </c>
      <c r="I54" s="95">
        <v>92</v>
      </c>
      <c r="J54" s="95">
        <v>94</v>
      </c>
      <c r="K54" s="95">
        <v>79</v>
      </c>
      <c r="L54" s="95">
        <v>53</v>
      </c>
      <c r="M54" s="96">
        <v>8</v>
      </c>
      <c r="N54" s="90">
        <v>0</v>
      </c>
      <c r="O54" s="95">
        <f>SUM(G54:N54)</f>
        <v>500</v>
      </c>
    </row>
    <row r="55" spans="2:15" x14ac:dyDescent="0.4">
      <c r="C55" s="9" t="s">
        <v>74</v>
      </c>
      <c r="D55" s="53">
        <v>0.80400000000000005</v>
      </c>
      <c r="F55" s="21">
        <v>2</v>
      </c>
      <c r="G55" s="90">
        <v>246</v>
      </c>
      <c r="H55" s="95">
        <v>384</v>
      </c>
      <c r="I55" s="95">
        <v>400</v>
      </c>
      <c r="J55" s="95">
        <v>391</v>
      </c>
      <c r="K55" s="95">
        <v>403</v>
      </c>
      <c r="L55" s="95">
        <v>443</v>
      </c>
      <c r="M55" s="96">
        <v>136</v>
      </c>
      <c r="N55" s="90">
        <v>7</v>
      </c>
      <c r="O55" s="95">
        <f>SUM(G55:N55)</f>
        <v>2410</v>
      </c>
    </row>
    <row r="56" spans="2:15" x14ac:dyDescent="0.4">
      <c r="C56" s="9" t="s">
        <v>152</v>
      </c>
      <c r="D56" s="53">
        <v>2.9000000000000001E-2</v>
      </c>
      <c r="F56" s="19" t="s">
        <v>151</v>
      </c>
      <c r="G56" s="94">
        <v>0</v>
      </c>
      <c r="H56" s="89">
        <v>3</v>
      </c>
      <c r="I56" s="89">
        <v>6</v>
      </c>
      <c r="J56" s="89">
        <v>5</v>
      </c>
      <c r="K56" s="89">
        <v>14</v>
      </c>
      <c r="L56" s="89">
        <v>32</v>
      </c>
      <c r="M56" s="69">
        <v>28</v>
      </c>
      <c r="N56" s="90">
        <v>0</v>
      </c>
      <c r="O56" s="95">
        <f>SUM(G56:N56)</f>
        <v>88</v>
      </c>
    </row>
    <row r="57" spans="2:15" x14ac:dyDescent="0.4">
      <c r="F57" s="13" t="s">
        <v>23</v>
      </c>
      <c r="G57" s="94">
        <f t="shared" ref="G57:O57" si="3">SUM(G54:G56)</f>
        <v>317</v>
      </c>
      <c r="H57" s="94">
        <f t="shared" si="3"/>
        <v>490</v>
      </c>
      <c r="I57" s="94">
        <f t="shared" si="3"/>
        <v>498</v>
      </c>
      <c r="J57" s="94">
        <f t="shared" si="3"/>
        <v>490</v>
      </c>
      <c r="K57" s="94">
        <f t="shared" si="3"/>
        <v>496</v>
      </c>
      <c r="L57" s="94">
        <f t="shared" si="3"/>
        <v>528</v>
      </c>
      <c r="M57" s="94">
        <f t="shared" si="3"/>
        <v>172</v>
      </c>
      <c r="N57" s="94">
        <f t="shared" si="3"/>
        <v>7</v>
      </c>
      <c r="O57" s="94">
        <f t="shared" si="3"/>
        <v>2998</v>
      </c>
    </row>
    <row r="59" spans="2:15" x14ac:dyDescent="0.4">
      <c r="G59" s="47" t="s">
        <v>31</v>
      </c>
      <c r="H59" s="47" t="s">
        <v>30</v>
      </c>
      <c r="I59" s="47" t="s">
        <v>29</v>
      </c>
      <c r="J59" s="47" t="s">
        <v>28</v>
      </c>
      <c r="K59" s="47" t="s">
        <v>27</v>
      </c>
      <c r="L59" s="47" t="s">
        <v>26</v>
      </c>
      <c r="M59" s="47" t="s">
        <v>25</v>
      </c>
      <c r="N59" s="47" t="s">
        <v>63</v>
      </c>
    </row>
    <row r="60" spans="2:15" x14ac:dyDescent="0.4">
      <c r="G60" s="75">
        <v>0.224</v>
      </c>
      <c r="H60" s="75">
        <v>0.21</v>
      </c>
      <c r="I60" s="75">
        <v>0.185</v>
      </c>
      <c r="J60" s="75">
        <v>0.192</v>
      </c>
      <c r="K60" s="75">
        <v>0.159</v>
      </c>
      <c r="L60" s="75">
        <v>0.1</v>
      </c>
      <c r="M60" s="75">
        <v>4.7E-2</v>
      </c>
      <c r="N60" s="75">
        <v>0</v>
      </c>
    </row>
    <row r="61" spans="2:15" x14ac:dyDescent="0.4">
      <c r="G61" s="75"/>
      <c r="H61" s="75"/>
      <c r="I61" s="75"/>
      <c r="J61" s="75"/>
      <c r="K61" s="75"/>
      <c r="L61" s="75"/>
      <c r="M61" s="75"/>
      <c r="N61" s="75"/>
    </row>
    <row r="63" spans="2:15" x14ac:dyDescent="0.4">
      <c r="B63" s="9" t="s">
        <v>76</v>
      </c>
      <c r="O63" s="26"/>
    </row>
    <row r="64" spans="2:15" x14ac:dyDescent="0.4">
      <c r="O64" s="26" t="s">
        <v>32</v>
      </c>
    </row>
    <row r="65" spans="2:15" x14ac:dyDescent="0.4">
      <c r="B65" s="28"/>
      <c r="C65" s="9" t="s">
        <v>22</v>
      </c>
      <c r="D65" s="53"/>
      <c r="F65" s="25"/>
      <c r="G65" s="23" t="s">
        <v>31</v>
      </c>
      <c r="H65" s="22" t="s">
        <v>30</v>
      </c>
      <c r="I65" s="22" t="s">
        <v>29</v>
      </c>
      <c r="J65" s="22" t="s">
        <v>28</v>
      </c>
      <c r="K65" s="22" t="s">
        <v>27</v>
      </c>
      <c r="L65" s="22" t="s">
        <v>26</v>
      </c>
      <c r="M65" s="24" t="s">
        <v>25</v>
      </c>
      <c r="N65" s="23" t="s">
        <v>24</v>
      </c>
      <c r="O65" s="22" t="s">
        <v>23</v>
      </c>
    </row>
    <row r="66" spans="2:15" x14ac:dyDescent="0.4">
      <c r="C66" s="9" t="s">
        <v>75</v>
      </c>
      <c r="D66" s="53">
        <v>6.4000000000000001E-2</v>
      </c>
      <c r="F66" s="21">
        <v>1</v>
      </c>
      <c r="G66" s="90">
        <v>18</v>
      </c>
      <c r="H66" s="95">
        <v>24</v>
      </c>
      <c r="I66" s="95">
        <v>29</v>
      </c>
      <c r="J66" s="95">
        <v>57</v>
      </c>
      <c r="K66" s="95">
        <v>28</v>
      </c>
      <c r="L66" s="95">
        <v>23</v>
      </c>
      <c r="M66" s="96">
        <v>12</v>
      </c>
      <c r="N66" s="90">
        <v>0</v>
      </c>
      <c r="O66" s="95">
        <f>SUM(G66:N66)</f>
        <v>191</v>
      </c>
    </row>
    <row r="67" spans="2:15" x14ac:dyDescent="0.4">
      <c r="C67" s="9" t="s">
        <v>74</v>
      </c>
      <c r="D67" s="53">
        <v>0.88400000000000001</v>
      </c>
      <c r="F67" s="21">
        <v>2</v>
      </c>
      <c r="G67" s="90">
        <v>296</v>
      </c>
      <c r="H67" s="95">
        <v>459</v>
      </c>
      <c r="I67" s="95">
        <v>460</v>
      </c>
      <c r="J67" s="95">
        <v>415</v>
      </c>
      <c r="K67" s="95">
        <v>433</v>
      </c>
      <c r="L67" s="95">
        <v>447</v>
      </c>
      <c r="M67" s="96">
        <v>134</v>
      </c>
      <c r="N67" s="90">
        <v>7</v>
      </c>
      <c r="O67" s="95">
        <f>SUM(G67:N67)</f>
        <v>2651</v>
      </c>
    </row>
    <row r="68" spans="2:15" x14ac:dyDescent="0.4">
      <c r="C68" s="9" t="s">
        <v>152</v>
      </c>
      <c r="D68" s="53">
        <v>5.1999999999999998E-2</v>
      </c>
      <c r="F68" s="19" t="s">
        <v>151</v>
      </c>
      <c r="G68" s="94">
        <v>3</v>
      </c>
      <c r="H68" s="89">
        <v>7</v>
      </c>
      <c r="I68" s="89">
        <v>9</v>
      </c>
      <c r="J68" s="89">
        <v>18</v>
      </c>
      <c r="K68" s="89">
        <v>35</v>
      </c>
      <c r="L68" s="89">
        <v>58</v>
      </c>
      <c r="M68" s="69">
        <v>26</v>
      </c>
      <c r="N68" s="90">
        <v>0</v>
      </c>
      <c r="O68" s="95">
        <f>SUM(G68:N68)</f>
        <v>156</v>
      </c>
    </row>
    <row r="69" spans="2:15" x14ac:dyDescent="0.4">
      <c r="F69" s="13" t="s">
        <v>23</v>
      </c>
      <c r="G69" s="94">
        <f t="shared" ref="G69:O69" si="4">SUM(G66:G68)</f>
        <v>317</v>
      </c>
      <c r="H69" s="94">
        <f t="shared" si="4"/>
        <v>490</v>
      </c>
      <c r="I69" s="94">
        <f t="shared" si="4"/>
        <v>498</v>
      </c>
      <c r="J69" s="94">
        <f t="shared" si="4"/>
        <v>490</v>
      </c>
      <c r="K69" s="94">
        <f t="shared" si="4"/>
        <v>496</v>
      </c>
      <c r="L69" s="94">
        <f t="shared" si="4"/>
        <v>528</v>
      </c>
      <c r="M69" s="94">
        <f t="shared" si="4"/>
        <v>172</v>
      </c>
      <c r="N69" s="94">
        <f t="shared" si="4"/>
        <v>7</v>
      </c>
      <c r="O69" s="94">
        <f t="shared" si="4"/>
        <v>2998</v>
      </c>
    </row>
    <row r="71" spans="2:15" x14ac:dyDescent="0.4">
      <c r="G71" s="47" t="s">
        <v>31</v>
      </c>
      <c r="H71" s="47" t="s">
        <v>30</v>
      </c>
      <c r="I71" s="47" t="s">
        <v>29</v>
      </c>
      <c r="J71" s="47" t="s">
        <v>28</v>
      </c>
      <c r="K71" s="47" t="s">
        <v>27</v>
      </c>
      <c r="L71" s="47" t="s">
        <v>26</v>
      </c>
      <c r="M71" s="47" t="s">
        <v>25</v>
      </c>
      <c r="N71" s="47" t="s">
        <v>63</v>
      </c>
    </row>
    <row r="72" spans="2:15" x14ac:dyDescent="0.4">
      <c r="G72" s="75">
        <v>5.7000000000000002E-2</v>
      </c>
      <c r="H72" s="75">
        <v>4.9000000000000002E-2</v>
      </c>
      <c r="I72" s="75">
        <v>5.8000000000000003E-2</v>
      </c>
      <c r="J72" s="75">
        <v>0.11600000000000001</v>
      </c>
      <c r="K72" s="75">
        <v>5.6000000000000001E-2</v>
      </c>
      <c r="L72" s="75">
        <v>4.3999999999999997E-2</v>
      </c>
      <c r="M72" s="75">
        <v>7.0000000000000007E-2</v>
      </c>
      <c r="N72" s="75">
        <v>0</v>
      </c>
    </row>
    <row r="73" spans="2:15" ht="13.5" customHeight="1" x14ac:dyDescent="0.4"/>
    <row r="75" spans="2:15" x14ac:dyDescent="0.4">
      <c r="B75" s="9" t="s">
        <v>138</v>
      </c>
      <c r="O75" s="26"/>
    </row>
    <row r="76" spans="2:15" x14ac:dyDescent="0.4">
      <c r="O76" s="26" t="s">
        <v>32</v>
      </c>
    </row>
    <row r="77" spans="2:15" x14ac:dyDescent="0.4">
      <c r="B77" s="28"/>
      <c r="C77" s="9" t="s">
        <v>22</v>
      </c>
      <c r="D77" s="53"/>
      <c r="F77" s="25"/>
      <c r="G77" s="23" t="s">
        <v>31</v>
      </c>
      <c r="H77" s="22" t="s">
        <v>30</v>
      </c>
      <c r="I77" s="22" t="s">
        <v>29</v>
      </c>
      <c r="J77" s="22" t="s">
        <v>28</v>
      </c>
      <c r="K77" s="22" t="s">
        <v>27</v>
      </c>
      <c r="L77" s="22" t="s">
        <v>26</v>
      </c>
      <c r="M77" s="24" t="s">
        <v>25</v>
      </c>
      <c r="N77" s="23" t="s">
        <v>24</v>
      </c>
      <c r="O77" s="22" t="s">
        <v>23</v>
      </c>
    </row>
    <row r="78" spans="2:15" x14ac:dyDescent="0.4">
      <c r="C78" s="9" t="s">
        <v>75</v>
      </c>
      <c r="D78" s="53">
        <v>0.87</v>
      </c>
      <c r="F78" s="21">
        <v>1</v>
      </c>
      <c r="G78" s="90">
        <v>291</v>
      </c>
      <c r="H78" s="95">
        <v>454</v>
      </c>
      <c r="I78" s="95">
        <v>454</v>
      </c>
      <c r="J78" s="95">
        <v>412</v>
      </c>
      <c r="K78" s="95">
        <v>421</v>
      </c>
      <c r="L78" s="95">
        <v>432</v>
      </c>
      <c r="M78" s="96">
        <v>137</v>
      </c>
      <c r="N78" s="90">
        <v>6</v>
      </c>
      <c r="O78" s="95">
        <f>SUM(G78:N78)</f>
        <v>2607</v>
      </c>
    </row>
    <row r="79" spans="2:15" x14ac:dyDescent="0.4">
      <c r="C79" s="9" t="s">
        <v>74</v>
      </c>
      <c r="D79" s="53">
        <v>9.8000000000000004E-2</v>
      </c>
      <c r="F79" s="21">
        <v>2</v>
      </c>
      <c r="G79" s="90">
        <v>22</v>
      </c>
      <c r="H79" s="95">
        <v>31</v>
      </c>
      <c r="I79" s="95">
        <v>42</v>
      </c>
      <c r="J79" s="95">
        <v>61</v>
      </c>
      <c r="K79" s="95">
        <v>55</v>
      </c>
      <c r="L79" s="95">
        <v>67</v>
      </c>
      <c r="M79" s="96">
        <v>16</v>
      </c>
      <c r="N79" s="90">
        <v>1</v>
      </c>
      <c r="O79" s="95">
        <f>SUM(G79:N79)</f>
        <v>295</v>
      </c>
    </row>
    <row r="80" spans="2:15" x14ac:dyDescent="0.4">
      <c r="C80" s="9" t="s">
        <v>152</v>
      </c>
      <c r="D80" s="53">
        <v>3.2000000000000001E-2</v>
      </c>
      <c r="F80" s="19" t="s">
        <v>151</v>
      </c>
      <c r="G80" s="94">
        <v>4</v>
      </c>
      <c r="H80" s="89">
        <v>5</v>
      </c>
      <c r="I80" s="89">
        <v>2</v>
      </c>
      <c r="J80" s="89">
        <v>17</v>
      </c>
      <c r="K80" s="89">
        <v>20</v>
      </c>
      <c r="L80" s="89">
        <v>29</v>
      </c>
      <c r="M80" s="69">
        <v>19</v>
      </c>
      <c r="N80" s="90">
        <v>0</v>
      </c>
      <c r="O80" s="95">
        <f>SUM(G80:N80)</f>
        <v>96</v>
      </c>
    </row>
    <row r="81" spans="2:15" x14ac:dyDescent="0.4">
      <c r="F81" s="13" t="s">
        <v>23</v>
      </c>
      <c r="G81" s="94">
        <f t="shared" ref="G81:O81" si="5">SUM(G78:G80)</f>
        <v>317</v>
      </c>
      <c r="H81" s="94">
        <f t="shared" si="5"/>
        <v>490</v>
      </c>
      <c r="I81" s="94">
        <f t="shared" si="5"/>
        <v>498</v>
      </c>
      <c r="J81" s="94">
        <f t="shared" si="5"/>
        <v>490</v>
      </c>
      <c r="K81" s="94">
        <f t="shared" si="5"/>
        <v>496</v>
      </c>
      <c r="L81" s="94">
        <f t="shared" si="5"/>
        <v>528</v>
      </c>
      <c r="M81" s="94">
        <f t="shared" si="5"/>
        <v>172</v>
      </c>
      <c r="N81" s="94">
        <f t="shared" si="5"/>
        <v>7</v>
      </c>
      <c r="O81" s="94">
        <f t="shared" si="5"/>
        <v>2998</v>
      </c>
    </row>
    <row r="83" spans="2:15" x14ac:dyDescent="0.4">
      <c r="B83" s="9" t="s">
        <v>54</v>
      </c>
      <c r="G83" s="47" t="s">
        <v>31</v>
      </c>
      <c r="H83" s="47" t="s">
        <v>30</v>
      </c>
      <c r="I83" s="47" t="s">
        <v>29</v>
      </c>
      <c r="J83" s="47" t="s">
        <v>28</v>
      </c>
      <c r="K83" s="47" t="s">
        <v>27</v>
      </c>
      <c r="L83" s="47" t="s">
        <v>26</v>
      </c>
      <c r="M83" s="47" t="s">
        <v>25</v>
      </c>
      <c r="N83" s="47" t="s">
        <v>63</v>
      </c>
    </row>
    <row r="84" spans="2:15" x14ac:dyDescent="0.4">
      <c r="B84" s="9" t="s">
        <v>137</v>
      </c>
      <c r="G84" s="75">
        <v>0.91800000000000004</v>
      </c>
      <c r="H84" s="75">
        <v>0.92700000000000005</v>
      </c>
      <c r="I84" s="75">
        <v>0.91200000000000003</v>
      </c>
      <c r="J84" s="75">
        <v>0.84099999999999997</v>
      </c>
      <c r="K84" s="75">
        <v>0.84899999999999998</v>
      </c>
      <c r="L84" s="75">
        <v>0.81799999999999995</v>
      </c>
      <c r="M84" s="75">
        <v>0.79700000000000004</v>
      </c>
      <c r="N84" s="75">
        <v>0.85699999999999998</v>
      </c>
    </row>
    <row r="85" spans="2:15" x14ac:dyDescent="0.4">
      <c r="D85" s="9" t="s">
        <v>136</v>
      </c>
    </row>
    <row r="89" spans="2:15" x14ac:dyDescent="0.4">
      <c r="B89" s="9" t="s">
        <v>135</v>
      </c>
      <c r="O89" s="26"/>
    </row>
    <row r="90" spans="2:15" x14ac:dyDescent="0.4">
      <c r="O90" s="26" t="s">
        <v>32</v>
      </c>
    </row>
    <row r="91" spans="2:15" x14ac:dyDescent="0.4">
      <c r="B91" s="28"/>
      <c r="C91" s="9" t="s">
        <v>22</v>
      </c>
      <c r="D91" s="53"/>
      <c r="F91" s="25"/>
      <c r="G91" s="23" t="s">
        <v>31</v>
      </c>
      <c r="H91" s="22" t="s">
        <v>30</v>
      </c>
      <c r="I91" s="22" t="s">
        <v>29</v>
      </c>
      <c r="J91" s="22" t="s">
        <v>28</v>
      </c>
      <c r="K91" s="22" t="s">
        <v>27</v>
      </c>
      <c r="L91" s="22" t="s">
        <v>26</v>
      </c>
      <c r="M91" s="24" t="s">
        <v>25</v>
      </c>
      <c r="N91" s="23" t="s">
        <v>24</v>
      </c>
      <c r="O91" s="22" t="s">
        <v>23</v>
      </c>
    </row>
    <row r="92" spans="2:15" x14ac:dyDescent="0.4">
      <c r="C92" s="9" t="s">
        <v>75</v>
      </c>
      <c r="D92" s="53">
        <v>0.68300000000000005</v>
      </c>
      <c r="F92" s="21">
        <v>1</v>
      </c>
      <c r="G92" s="90">
        <v>230</v>
      </c>
      <c r="H92" s="95">
        <v>322</v>
      </c>
      <c r="I92" s="95">
        <v>328</v>
      </c>
      <c r="J92" s="95">
        <v>307</v>
      </c>
      <c r="K92" s="95">
        <v>353</v>
      </c>
      <c r="L92" s="95">
        <v>373</v>
      </c>
      <c r="M92" s="96">
        <v>130</v>
      </c>
      <c r="N92" s="90">
        <v>5</v>
      </c>
      <c r="O92" s="95">
        <f>SUM(G92:N92)</f>
        <v>2048</v>
      </c>
    </row>
    <row r="93" spans="2:15" x14ac:dyDescent="0.4">
      <c r="C93" s="9" t="s">
        <v>74</v>
      </c>
      <c r="D93" s="53">
        <v>0.26</v>
      </c>
      <c r="F93" s="21">
        <v>2</v>
      </c>
      <c r="G93" s="90">
        <v>78</v>
      </c>
      <c r="H93" s="95">
        <v>160</v>
      </c>
      <c r="I93" s="95">
        <v>158</v>
      </c>
      <c r="J93" s="95">
        <v>163</v>
      </c>
      <c r="K93" s="95">
        <v>110</v>
      </c>
      <c r="L93" s="95">
        <v>94</v>
      </c>
      <c r="M93" s="96">
        <v>16</v>
      </c>
      <c r="N93" s="90">
        <v>1</v>
      </c>
      <c r="O93" s="95">
        <f>SUM(G93:N93)</f>
        <v>780</v>
      </c>
    </row>
    <row r="94" spans="2:15" x14ac:dyDescent="0.4">
      <c r="C94" s="9" t="s">
        <v>152</v>
      </c>
      <c r="D94" s="53">
        <v>5.7000000000000002E-2</v>
      </c>
      <c r="F94" s="19" t="s">
        <v>151</v>
      </c>
      <c r="G94" s="94">
        <v>9</v>
      </c>
      <c r="H94" s="89">
        <v>8</v>
      </c>
      <c r="I94" s="89">
        <v>12</v>
      </c>
      <c r="J94" s="89">
        <v>20</v>
      </c>
      <c r="K94" s="89">
        <v>33</v>
      </c>
      <c r="L94" s="89">
        <v>61</v>
      </c>
      <c r="M94" s="69">
        <v>26</v>
      </c>
      <c r="N94" s="90">
        <v>1</v>
      </c>
      <c r="O94" s="95">
        <f>SUM(G94:N94)</f>
        <v>170</v>
      </c>
    </row>
    <row r="95" spans="2:15" x14ac:dyDescent="0.4">
      <c r="F95" s="13" t="s">
        <v>23</v>
      </c>
      <c r="G95" s="94">
        <f t="shared" ref="G95:O95" si="6">SUM(G92:G94)</f>
        <v>317</v>
      </c>
      <c r="H95" s="94">
        <f t="shared" si="6"/>
        <v>490</v>
      </c>
      <c r="I95" s="94">
        <f t="shared" si="6"/>
        <v>498</v>
      </c>
      <c r="J95" s="94">
        <f t="shared" si="6"/>
        <v>490</v>
      </c>
      <c r="K95" s="94">
        <f t="shared" si="6"/>
        <v>496</v>
      </c>
      <c r="L95" s="94">
        <f t="shared" si="6"/>
        <v>528</v>
      </c>
      <c r="M95" s="94">
        <f t="shared" si="6"/>
        <v>172</v>
      </c>
      <c r="N95" s="94">
        <f t="shared" si="6"/>
        <v>7</v>
      </c>
      <c r="O95" s="94">
        <f t="shared" si="6"/>
        <v>2998</v>
      </c>
    </row>
    <row r="97" spans="2:15" x14ac:dyDescent="0.4">
      <c r="G97" s="47" t="s">
        <v>31</v>
      </c>
      <c r="H97" s="47" t="s">
        <v>30</v>
      </c>
      <c r="I97" s="47" t="s">
        <v>29</v>
      </c>
      <c r="J97" s="47" t="s">
        <v>28</v>
      </c>
      <c r="K97" s="47" t="s">
        <v>27</v>
      </c>
      <c r="L97" s="47" t="s">
        <v>26</v>
      </c>
      <c r="M97" s="47" t="s">
        <v>25</v>
      </c>
      <c r="N97" s="47" t="s">
        <v>63</v>
      </c>
    </row>
    <row r="98" spans="2:15" x14ac:dyDescent="0.4">
      <c r="G98" s="75">
        <v>0.72599999999999998</v>
      </c>
      <c r="H98" s="75">
        <v>0.65700000000000003</v>
      </c>
      <c r="I98" s="75">
        <v>0.65900000000000003</v>
      </c>
      <c r="J98" s="75">
        <v>0.627</v>
      </c>
      <c r="K98" s="75">
        <v>0.71199999999999997</v>
      </c>
      <c r="L98" s="75">
        <v>0.70599999999999996</v>
      </c>
      <c r="M98" s="75">
        <v>0.75600000000000001</v>
      </c>
      <c r="N98" s="75">
        <v>0.71399999999999997</v>
      </c>
    </row>
    <row r="99" spans="2:15" x14ac:dyDescent="0.4">
      <c r="G99" s="75"/>
      <c r="H99" s="75"/>
      <c r="I99" s="75"/>
      <c r="J99" s="75"/>
      <c r="K99" s="75"/>
      <c r="L99" s="75"/>
      <c r="M99" s="75"/>
      <c r="N99" s="75"/>
    </row>
    <row r="100" spans="2:15" x14ac:dyDescent="0.4">
      <c r="K100" s="77"/>
    </row>
    <row r="102" spans="2:15" x14ac:dyDescent="0.4">
      <c r="B102" s="9" t="s">
        <v>134</v>
      </c>
      <c r="O102" s="26"/>
    </row>
    <row r="103" spans="2:15" x14ac:dyDescent="0.4">
      <c r="O103" s="26" t="s">
        <v>32</v>
      </c>
    </row>
    <row r="104" spans="2:15" x14ac:dyDescent="0.4">
      <c r="B104" s="28"/>
      <c r="C104" s="9" t="s">
        <v>22</v>
      </c>
      <c r="D104" s="53"/>
      <c r="F104" s="25"/>
      <c r="G104" s="23" t="s">
        <v>31</v>
      </c>
      <c r="H104" s="22" t="s">
        <v>30</v>
      </c>
      <c r="I104" s="22" t="s">
        <v>29</v>
      </c>
      <c r="J104" s="22" t="s">
        <v>28</v>
      </c>
      <c r="K104" s="22" t="s">
        <v>27</v>
      </c>
      <c r="L104" s="22" t="s">
        <v>26</v>
      </c>
      <c r="M104" s="24" t="s">
        <v>25</v>
      </c>
      <c r="N104" s="23" t="s">
        <v>24</v>
      </c>
      <c r="O104" s="22" t="s">
        <v>23</v>
      </c>
    </row>
    <row r="105" spans="2:15" x14ac:dyDescent="0.4">
      <c r="C105" s="9" t="s">
        <v>75</v>
      </c>
      <c r="D105" s="53">
        <v>0.88200000000000001</v>
      </c>
      <c r="F105" s="21">
        <v>1</v>
      </c>
      <c r="G105" s="90">
        <v>295</v>
      </c>
      <c r="H105" s="95">
        <v>456</v>
      </c>
      <c r="I105" s="95">
        <v>437</v>
      </c>
      <c r="J105" s="95">
        <v>438</v>
      </c>
      <c r="K105" s="95">
        <v>443</v>
      </c>
      <c r="L105" s="95">
        <v>436</v>
      </c>
      <c r="M105" s="96">
        <v>135</v>
      </c>
      <c r="N105" s="90">
        <v>5</v>
      </c>
      <c r="O105" s="95">
        <f>SUM(G105:N105)</f>
        <v>2645</v>
      </c>
    </row>
    <row r="106" spans="2:15" x14ac:dyDescent="0.4">
      <c r="C106" s="9" t="s">
        <v>74</v>
      </c>
      <c r="D106" s="53">
        <v>6.4000000000000001E-2</v>
      </c>
      <c r="F106" s="21">
        <v>2</v>
      </c>
      <c r="G106" s="90">
        <v>14</v>
      </c>
      <c r="H106" s="95">
        <v>28</v>
      </c>
      <c r="I106" s="95">
        <v>47</v>
      </c>
      <c r="J106" s="95">
        <v>35</v>
      </c>
      <c r="K106" s="95">
        <v>26</v>
      </c>
      <c r="L106" s="95">
        <v>35</v>
      </c>
      <c r="M106" s="96">
        <v>7</v>
      </c>
      <c r="N106" s="90">
        <v>1</v>
      </c>
      <c r="O106" s="95">
        <f>SUM(G106:N106)</f>
        <v>193</v>
      </c>
    </row>
    <row r="107" spans="2:15" x14ac:dyDescent="0.4">
      <c r="C107" s="9" t="s">
        <v>152</v>
      </c>
      <c r="D107" s="53">
        <v>5.2999999999999999E-2</v>
      </c>
      <c r="F107" s="19" t="s">
        <v>151</v>
      </c>
      <c r="G107" s="94">
        <v>8</v>
      </c>
      <c r="H107" s="89">
        <v>6</v>
      </c>
      <c r="I107" s="89">
        <v>14</v>
      </c>
      <c r="J107" s="89">
        <v>17</v>
      </c>
      <c r="K107" s="89">
        <v>27</v>
      </c>
      <c r="L107" s="89">
        <v>57</v>
      </c>
      <c r="M107" s="69">
        <v>30</v>
      </c>
      <c r="N107" s="90">
        <v>1</v>
      </c>
      <c r="O107" s="95">
        <f>SUM(G107:N107)</f>
        <v>160</v>
      </c>
    </row>
    <row r="108" spans="2:15" x14ac:dyDescent="0.4">
      <c r="F108" s="13" t="s">
        <v>23</v>
      </c>
      <c r="G108" s="94">
        <f t="shared" ref="G108:O108" si="7">SUM(G105:G107)</f>
        <v>317</v>
      </c>
      <c r="H108" s="94">
        <f t="shared" si="7"/>
        <v>490</v>
      </c>
      <c r="I108" s="94">
        <f t="shared" si="7"/>
        <v>498</v>
      </c>
      <c r="J108" s="94">
        <f t="shared" si="7"/>
        <v>490</v>
      </c>
      <c r="K108" s="94">
        <f t="shared" si="7"/>
        <v>496</v>
      </c>
      <c r="L108" s="94">
        <f t="shared" si="7"/>
        <v>528</v>
      </c>
      <c r="M108" s="94">
        <f t="shared" si="7"/>
        <v>172</v>
      </c>
      <c r="N108" s="94">
        <f t="shared" si="7"/>
        <v>7</v>
      </c>
      <c r="O108" s="94">
        <f t="shared" si="7"/>
        <v>2998</v>
      </c>
    </row>
    <row r="110" spans="2:15" x14ac:dyDescent="0.4">
      <c r="G110" s="47" t="s">
        <v>31</v>
      </c>
      <c r="H110" s="47" t="s">
        <v>30</v>
      </c>
      <c r="I110" s="47" t="s">
        <v>29</v>
      </c>
      <c r="J110" s="47" t="s">
        <v>28</v>
      </c>
      <c r="K110" s="47" t="s">
        <v>27</v>
      </c>
      <c r="L110" s="47" t="s">
        <v>26</v>
      </c>
      <c r="M110" s="47" t="s">
        <v>25</v>
      </c>
      <c r="N110" s="47" t="s">
        <v>63</v>
      </c>
    </row>
    <row r="111" spans="2:15" x14ac:dyDescent="0.4">
      <c r="G111" s="75">
        <v>0.93100000000000005</v>
      </c>
      <c r="H111" s="75">
        <v>0.93100000000000005</v>
      </c>
      <c r="I111" s="75">
        <v>0.878</v>
      </c>
      <c r="J111" s="75">
        <v>0.89400000000000002</v>
      </c>
      <c r="K111" s="75">
        <v>0.89300000000000002</v>
      </c>
      <c r="L111" s="75">
        <v>0.82599999999999996</v>
      </c>
      <c r="M111" s="75">
        <v>0.78500000000000003</v>
      </c>
      <c r="N111" s="75">
        <v>0.71399999999999997</v>
      </c>
    </row>
    <row r="112" spans="2:15" ht="14.25" customHeight="1" x14ac:dyDescent="0.4">
      <c r="O112" s="26"/>
    </row>
    <row r="113" spans="2:15" ht="14.25" customHeight="1" x14ac:dyDescent="0.4">
      <c r="O113" s="26"/>
    </row>
    <row r="114" spans="2:15" ht="14.25" customHeight="1" x14ac:dyDescent="0.4">
      <c r="O114" s="26"/>
    </row>
    <row r="115" spans="2:15" ht="14.25" customHeight="1" x14ac:dyDescent="0.4">
      <c r="B115" s="9" t="s">
        <v>60</v>
      </c>
      <c r="O115" s="26"/>
    </row>
    <row r="116" spans="2:15" ht="14.25" customHeight="1" x14ac:dyDescent="0.4">
      <c r="O116" s="26" t="s">
        <v>59</v>
      </c>
    </row>
    <row r="117" spans="2:15" ht="14.25" customHeight="1" x14ac:dyDescent="0.4">
      <c r="F117" s="25"/>
      <c r="G117" s="23" t="s">
        <v>31</v>
      </c>
      <c r="H117" s="22" t="s">
        <v>30</v>
      </c>
      <c r="I117" s="22" t="s">
        <v>29</v>
      </c>
      <c r="J117" s="22" t="s">
        <v>28</v>
      </c>
      <c r="K117" s="22" t="s">
        <v>27</v>
      </c>
      <c r="L117" s="22" t="s">
        <v>26</v>
      </c>
      <c r="M117" s="24" t="s">
        <v>25</v>
      </c>
      <c r="N117" s="23" t="s">
        <v>24</v>
      </c>
      <c r="O117" s="22" t="s">
        <v>23</v>
      </c>
    </row>
    <row r="118" spans="2:15" x14ac:dyDescent="0.4">
      <c r="F118" s="45" t="s">
        <v>58</v>
      </c>
      <c r="G118" s="90">
        <v>302</v>
      </c>
      <c r="H118" s="95">
        <v>473</v>
      </c>
      <c r="I118" s="95">
        <v>473</v>
      </c>
      <c r="J118" s="95">
        <v>462</v>
      </c>
      <c r="K118" s="95">
        <v>456</v>
      </c>
      <c r="L118" s="95">
        <v>469</v>
      </c>
      <c r="M118" s="96">
        <v>140</v>
      </c>
      <c r="N118" s="90">
        <v>6</v>
      </c>
      <c r="O118" s="95">
        <f>SUM(G118:N118)</f>
        <v>2781</v>
      </c>
    </row>
    <row r="119" spans="2:15" x14ac:dyDescent="0.4">
      <c r="F119" s="21" t="s">
        <v>151</v>
      </c>
      <c r="G119" s="90">
        <v>15</v>
      </c>
      <c r="H119" s="95">
        <v>17</v>
      </c>
      <c r="I119" s="95">
        <v>25</v>
      </c>
      <c r="J119" s="95">
        <v>28</v>
      </c>
      <c r="K119" s="95">
        <v>40</v>
      </c>
      <c r="L119" s="95">
        <v>59</v>
      </c>
      <c r="M119" s="96">
        <v>32</v>
      </c>
      <c r="N119" s="90">
        <v>1</v>
      </c>
      <c r="O119" s="95">
        <f>SUM(G119:N119)</f>
        <v>217</v>
      </c>
    </row>
    <row r="120" spans="2:15" x14ac:dyDescent="0.4">
      <c r="F120" s="13" t="s">
        <v>23</v>
      </c>
      <c r="G120" s="94">
        <f t="shared" ref="G120:N120" si="8">SUM(G118:G119)</f>
        <v>317</v>
      </c>
      <c r="H120" s="94">
        <f t="shared" si="8"/>
        <v>490</v>
      </c>
      <c r="I120" s="94">
        <f t="shared" si="8"/>
        <v>498</v>
      </c>
      <c r="J120" s="94">
        <f t="shared" si="8"/>
        <v>490</v>
      </c>
      <c r="K120" s="94">
        <f t="shared" si="8"/>
        <v>496</v>
      </c>
      <c r="L120" s="94">
        <f t="shared" si="8"/>
        <v>528</v>
      </c>
      <c r="M120" s="94">
        <f t="shared" si="8"/>
        <v>172</v>
      </c>
      <c r="N120" s="94">
        <f t="shared" si="8"/>
        <v>7</v>
      </c>
      <c r="O120" s="89">
        <f>SUM(G120:N120)</f>
        <v>2998</v>
      </c>
    </row>
    <row r="121" spans="2:15" x14ac:dyDescent="0.4">
      <c r="F121" s="45" t="s">
        <v>57</v>
      </c>
      <c r="G121" s="90">
        <v>23</v>
      </c>
      <c r="H121" s="95">
        <v>10</v>
      </c>
      <c r="I121" s="95">
        <v>1</v>
      </c>
      <c r="J121" s="95">
        <v>0</v>
      </c>
      <c r="K121" s="95">
        <v>0</v>
      </c>
      <c r="L121" s="95">
        <v>0</v>
      </c>
      <c r="M121" s="96">
        <v>0</v>
      </c>
      <c r="N121" s="90">
        <v>0</v>
      </c>
      <c r="O121" s="91"/>
    </row>
    <row r="122" spans="2:15" x14ac:dyDescent="0.4">
      <c r="F122" s="43" t="s">
        <v>56</v>
      </c>
      <c r="G122" s="94">
        <v>32</v>
      </c>
      <c r="H122" s="89">
        <v>32</v>
      </c>
      <c r="I122" s="89">
        <v>32</v>
      </c>
      <c r="J122" s="89">
        <v>32</v>
      </c>
      <c r="K122" s="89">
        <v>29</v>
      </c>
      <c r="L122" s="89">
        <v>30</v>
      </c>
      <c r="M122" s="69">
        <v>28</v>
      </c>
      <c r="N122" s="90">
        <v>25</v>
      </c>
      <c r="O122" s="97"/>
    </row>
    <row r="123" spans="2:15" x14ac:dyDescent="0.4">
      <c r="F123" s="42" t="s">
        <v>55</v>
      </c>
      <c r="G123" s="101">
        <v>27.73</v>
      </c>
      <c r="H123" s="100">
        <v>27.21</v>
      </c>
      <c r="I123" s="100">
        <v>26.28</v>
      </c>
      <c r="J123" s="100">
        <v>22.58</v>
      </c>
      <c r="K123" s="100">
        <v>18</v>
      </c>
      <c r="L123" s="100">
        <v>13.75</v>
      </c>
      <c r="M123" s="99">
        <v>8.74</v>
      </c>
      <c r="N123" s="98">
        <v>5</v>
      </c>
      <c r="O123" s="97"/>
    </row>
    <row r="124" spans="2:15" x14ac:dyDescent="0.4">
      <c r="B124" s="9" t="s">
        <v>54</v>
      </c>
    </row>
    <row r="125" spans="2:15" x14ac:dyDescent="0.4">
      <c r="B125" s="9" t="s">
        <v>133</v>
      </c>
    </row>
    <row r="126" spans="2:15" x14ac:dyDescent="0.4">
      <c r="B126" s="9" t="s">
        <v>132</v>
      </c>
      <c r="F126" s="9" t="s">
        <v>51</v>
      </c>
      <c r="I126" s="9" t="s">
        <v>50</v>
      </c>
    </row>
    <row r="127" spans="2:15" x14ac:dyDescent="0.4">
      <c r="F127" s="9" t="s">
        <v>48</v>
      </c>
      <c r="G127" s="9">
        <v>488</v>
      </c>
      <c r="I127" s="9" t="s">
        <v>48</v>
      </c>
      <c r="J127" s="9">
        <v>345</v>
      </c>
    </row>
    <row r="128" spans="2:15" x14ac:dyDescent="0.4">
      <c r="F128" s="9" t="s">
        <v>46</v>
      </c>
      <c r="G128" s="9">
        <v>9538</v>
      </c>
      <c r="I128" s="9" t="s">
        <v>46</v>
      </c>
      <c r="J128" s="9">
        <v>3547</v>
      </c>
    </row>
    <row r="129" spans="2:16" x14ac:dyDescent="0.4">
      <c r="F129" s="9" t="s">
        <v>45</v>
      </c>
      <c r="G129" s="9">
        <v>19.55</v>
      </c>
      <c r="I129" s="9" t="s">
        <v>45</v>
      </c>
      <c r="J129" s="9">
        <v>10.28</v>
      </c>
    </row>
    <row r="130" spans="2:16" x14ac:dyDescent="0.4">
      <c r="F130" s="9" t="s">
        <v>44</v>
      </c>
      <c r="G130" s="9">
        <v>245</v>
      </c>
      <c r="I130" s="9" t="s">
        <v>44</v>
      </c>
      <c r="J130" s="9">
        <v>96</v>
      </c>
    </row>
    <row r="131" spans="2:16" x14ac:dyDescent="0.4">
      <c r="F131" s="9" t="s">
        <v>43</v>
      </c>
      <c r="G131" s="53">
        <v>0.502</v>
      </c>
      <c r="I131" s="9" t="s">
        <v>43</v>
      </c>
      <c r="J131" s="53">
        <v>0.27800000000000002</v>
      </c>
    </row>
    <row r="132" spans="2:16" x14ac:dyDescent="0.4">
      <c r="G132" s="33"/>
      <c r="J132" s="33"/>
    </row>
    <row r="133" spans="2:16" x14ac:dyDescent="0.4">
      <c r="G133" s="33"/>
      <c r="J133" s="33"/>
    </row>
    <row r="134" spans="2:16" x14ac:dyDescent="0.4">
      <c r="G134" s="33"/>
      <c r="J134" s="33"/>
    </row>
    <row r="135" spans="2:16" x14ac:dyDescent="0.4">
      <c r="O135" s="26"/>
    </row>
    <row r="136" spans="2:16" x14ac:dyDescent="0.4">
      <c r="B136" s="9" t="s">
        <v>42</v>
      </c>
      <c r="G136" s="74"/>
      <c r="O136" s="26"/>
    </row>
    <row r="137" spans="2:16" x14ac:dyDescent="0.4">
      <c r="O137" s="26" t="s">
        <v>32</v>
      </c>
    </row>
    <row r="138" spans="2:16" x14ac:dyDescent="0.4">
      <c r="F138" s="25"/>
      <c r="G138" s="23" t="s">
        <v>31</v>
      </c>
      <c r="H138" s="22" t="s">
        <v>30</v>
      </c>
      <c r="I138" s="22" t="s">
        <v>29</v>
      </c>
      <c r="J138" s="22" t="s">
        <v>28</v>
      </c>
      <c r="K138" s="22" t="s">
        <v>27</v>
      </c>
      <c r="L138" s="22" t="s">
        <v>26</v>
      </c>
      <c r="M138" s="24" t="s">
        <v>25</v>
      </c>
      <c r="N138" s="23" t="s">
        <v>24</v>
      </c>
      <c r="O138" s="22" t="s">
        <v>23</v>
      </c>
    </row>
    <row r="139" spans="2:16" x14ac:dyDescent="0.4">
      <c r="C139" s="9" t="s">
        <v>38</v>
      </c>
      <c r="F139" s="21">
        <v>1</v>
      </c>
      <c r="G139" s="90">
        <v>71</v>
      </c>
      <c r="H139" s="95">
        <v>126</v>
      </c>
      <c r="I139" s="95">
        <v>153</v>
      </c>
      <c r="J139" s="95">
        <v>128</v>
      </c>
      <c r="K139" s="95">
        <v>70</v>
      </c>
      <c r="L139" s="95">
        <v>29</v>
      </c>
      <c r="M139" s="96">
        <v>6</v>
      </c>
      <c r="N139" s="90">
        <v>0</v>
      </c>
      <c r="O139" s="95">
        <f>SUM(G139:N139)</f>
        <v>583</v>
      </c>
    </row>
    <row r="140" spans="2:16" x14ac:dyDescent="0.4">
      <c r="C140" s="9" t="s">
        <v>41</v>
      </c>
      <c r="F140" s="21">
        <v>2</v>
      </c>
      <c r="G140" s="90">
        <v>44</v>
      </c>
      <c r="H140" s="95">
        <v>113</v>
      </c>
      <c r="I140" s="95">
        <v>120</v>
      </c>
      <c r="J140" s="95">
        <v>156</v>
      </c>
      <c r="K140" s="95">
        <v>144</v>
      </c>
      <c r="L140" s="95">
        <v>127</v>
      </c>
      <c r="M140" s="96">
        <v>37</v>
      </c>
      <c r="N140" s="90">
        <v>1</v>
      </c>
      <c r="O140" s="95">
        <f>SUM(G140:N140)</f>
        <v>742</v>
      </c>
    </row>
    <row r="141" spans="2:16" x14ac:dyDescent="0.4">
      <c r="C141" s="9" t="s">
        <v>40</v>
      </c>
      <c r="F141" s="21">
        <v>3</v>
      </c>
      <c r="G141" s="90">
        <v>197</v>
      </c>
      <c r="H141" s="95">
        <v>240</v>
      </c>
      <c r="I141" s="95">
        <v>214</v>
      </c>
      <c r="J141" s="95">
        <v>190</v>
      </c>
      <c r="K141" s="95">
        <v>265</v>
      </c>
      <c r="L141" s="95">
        <v>348</v>
      </c>
      <c r="M141" s="96">
        <v>112</v>
      </c>
      <c r="N141" s="90">
        <v>6</v>
      </c>
      <c r="O141" s="95">
        <f>SUM(G141:N141)</f>
        <v>1572</v>
      </c>
    </row>
    <row r="142" spans="2:16" x14ac:dyDescent="0.4">
      <c r="F142" s="19" t="s">
        <v>151</v>
      </c>
      <c r="G142" s="94">
        <v>5</v>
      </c>
      <c r="H142" s="89">
        <v>11</v>
      </c>
      <c r="I142" s="89">
        <v>11</v>
      </c>
      <c r="J142" s="89">
        <v>16</v>
      </c>
      <c r="K142" s="89">
        <v>17</v>
      </c>
      <c r="L142" s="89">
        <v>24</v>
      </c>
      <c r="M142" s="69">
        <v>17</v>
      </c>
      <c r="N142" s="90">
        <v>0</v>
      </c>
      <c r="O142" s="95">
        <f>SUM(G142:N142)</f>
        <v>101</v>
      </c>
    </row>
    <row r="143" spans="2:16" x14ac:dyDescent="0.4">
      <c r="F143" s="13" t="s">
        <v>23</v>
      </c>
      <c r="G143" s="94">
        <f t="shared" ref="G143:N143" si="9">SUM(G139:G142)</f>
        <v>317</v>
      </c>
      <c r="H143" s="94">
        <f t="shared" si="9"/>
        <v>490</v>
      </c>
      <c r="I143" s="94">
        <f t="shared" si="9"/>
        <v>498</v>
      </c>
      <c r="J143" s="94">
        <f t="shared" si="9"/>
        <v>490</v>
      </c>
      <c r="K143" s="94">
        <f t="shared" si="9"/>
        <v>496</v>
      </c>
      <c r="L143" s="94">
        <f t="shared" si="9"/>
        <v>528</v>
      </c>
      <c r="M143" s="94">
        <f t="shared" si="9"/>
        <v>172</v>
      </c>
      <c r="N143" s="94">
        <f t="shared" si="9"/>
        <v>7</v>
      </c>
      <c r="O143" s="89">
        <f>SUM(G143:N143)</f>
        <v>2998</v>
      </c>
    </row>
    <row r="144" spans="2:16" x14ac:dyDescent="0.4">
      <c r="C144" s="9" t="s">
        <v>22</v>
      </c>
      <c r="F144" s="32" t="s">
        <v>39</v>
      </c>
      <c r="G144" s="93">
        <v>0.224</v>
      </c>
      <c r="H144" s="92">
        <v>0.25700000000000001</v>
      </c>
      <c r="I144" s="93">
        <v>0.307</v>
      </c>
      <c r="J144" s="93">
        <v>0.26100000000000001</v>
      </c>
      <c r="K144" s="92">
        <v>0.14099999999999999</v>
      </c>
      <c r="L144" s="92">
        <v>5.5E-2</v>
      </c>
      <c r="M144" s="92">
        <v>3.5000000000000003E-2</v>
      </c>
      <c r="N144" s="92">
        <v>0</v>
      </c>
      <c r="O144" s="91"/>
      <c r="P144" s="27"/>
    </row>
    <row r="145" spans="3:10" x14ac:dyDescent="0.4">
      <c r="C145" s="9" t="s">
        <v>38</v>
      </c>
      <c r="D145" s="53">
        <v>0.19400000000000001</v>
      </c>
      <c r="I145" s="29"/>
    </row>
    <row r="146" spans="3:10" x14ac:dyDescent="0.4">
      <c r="C146" s="28" t="s">
        <v>37</v>
      </c>
      <c r="D146" s="53">
        <v>0.247</v>
      </c>
    </row>
    <row r="147" spans="3:10" x14ac:dyDescent="0.4">
      <c r="C147" s="9" t="s">
        <v>36</v>
      </c>
      <c r="D147" s="53">
        <v>0.52400000000000002</v>
      </c>
      <c r="J147" s="27"/>
    </row>
    <row r="148" spans="3:10" x14ac:dyDescent="0.4">
      <c r="C148" s="47" t="s">
        <v>151</v>
      </c>
      <c r="D148" s="53">
        <v>3.4000000000000002E-2</v>
      </c>
    </row>
  </sheetData>
  <phoneticPr fontId="9"/>
  <pageMargins left="0.11811023622047245" right="0.11811023622047245" top="0.59055118110236227" bottom="0.55118110236220474" header="0.31496062992125984" footer="0.31496062992125984"/>
  <pageSetup paperSize="9" scale="68" fitToHeight="0" orientation="portrait" r:id="rId1"/>
  <rowBreaks count="1" manualBreakCount="1">
    <brk id="114"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153"/>
  <sheetViews>
    <sheetView topLeftCell="B1" zoomScaleNormal="100" workbookViewId="0">
      <selection activeCell="H21" sqref="H21"/>
    </sheetView>
  </sheetViews>
  <sheetFormatPr defaultRowHeight="18.75" x14ac:dyDescent="0.4"/>
  <cols>
    <col min="1" max="16384" width="9" style="9"/>
  </cols>
  <sheetData>
    <row r="1" spans="1:15" ht="26.25" customHeight="1" x14ac:dyDescent="0.4">
      <c r="B1" s="73" t="s">
        <v>161</v>
      </c>
    </row>
    <row r="2" spans="1:15" ht="21.75" customHeight="1" x14ac:dyDescent="0.4">
      <c r="B2" s="72"/>
    </row>
    <row r="3" spans="1:15" ht="18" customHeight="1" x14ac:dyDescent="0.4">
      <c r="B3" s="70" t="s">
        <v>111</v>
      </c>
    </row>
    <row r="4" spans="1:15" ht="15" customHeight="1" x14ac:dyDescent="0.4">
      <c r="B4" s="34" t="s">
        <v>160</v>
      </c>
    </row>
    <row r="5" spans="1:15" ht="15" customHeight="1" x14ac:dyDescent="0.4">
      <c r="B5" s="34" t="s">
        <v>159</v>
      </c>
    </row>
    <row r="6" spans="1:15" ht="15" customHeight="1" x14ac:dyDescent="0.4">
      <c r="A6" s="9" t="s">
        <v>108</v>
      </c>
      <c r="B6" s="34" t="s">
        <v>158</v>
      </c>
    </row>
    <row r="7" spans="1:15" ht="13.5" customHeight="1" x14ac:dyDescent="0.4">
      <c r="B7" s="34"/>
      <c r="G7" s="27"/>
    </row>
    <row r="8" spans="1:15" ht="13.5" customHeight="1" x14ac:dyDescent="0.4">
      <c r="B8" s="34"/>
    </row>
    <row r="9" spans="1:15" ht="18" customHeight="1" x14ac:dyDescent="0.4">
      <c r="B9" s="70" t="s">
        <v>106</v>
      </c>
    </row>
    <row r="10" spans="1:15" x14ac:dyDescent="0.4">
      <c r="B10" s="34"/>
    </row>
    <row r="11" spans="1:15" x14ac:dyDescent="0.4">
      <c r="B11" s="9" t="s">
        <v>105</v>
      </c>
    </row>
    <row r="13" spans="1:15" x14ac:dyDescent="0.4">
      <c r="F13" s="69"/>
      <c r="O13" s="26" t="s">
        <v>32</v>
      </c>
    </row>
    <row r="14" spans="1:15" x14ac:dyDescent="0.4">
      <c r="B14" s="47" t="s">
        <v>104</v>
      </c>
      <c r="C14" s="68" t="s">
        <v>157</v>
      </c>
      <c r="D14" s="67">
        <v>0.435</v>
      </c>
      <c r="E14" s="66"/>
      <c r="F14" s="25"/>
      <c r="G14" s="23" t="s">
        <v>31</v>
      </c>
      <c r="H14" s="22" t="s">
        <v>30</v>
      </c>
      <c r="I14" s="22" t="s">
        <v>29</v>
      </c>
      <c r="J14" s="22" t="s">
        <v>28</v>
      </c>
      <c r="K14" s="22" t="s">
        <v>27</v>
      </c>
      <c r="L14" s="22" t="s">
        <v>26</v>
      </c>
      <c r="M14" s="24" t="s">
        <v>25</v>
      </c>
      <c r="N14" s="23" t="s">
        <v>24</v>
      </c>
      <c r="O14" s="22" t="s">
        <v>23</v>
      </c>
    </row>
    <row r="15" spans="1:15" x14ac:dyDescent="0.4">
      <c r="B15" s="47" t="s">
        <v>102</v>
      </c>
      <c r="C15" s="59" t="s">
        <v>156</v>
      </c>
      <c r="D15" s="67">
        <v>0.56499999999999995</v>
      </c>
      <c r="E15" s="66"/>
      <c r="F15" s="21" t="s">
        <v>100</v>
      </c>
      <c r="G15" s="90">
        <v>180</v>
      </c>
      <c r="H15" s="80">
        <v>269</v>
      </c>
      <c r="I15" s="80">
        <v>336</v>
      </c>
      <c r="J15" s="80">
        <v>312</v>
      </c>
      <c r="K15" s="80">
        <v>539</v>
      </c>
      <c r="L15" s="80">
        <v>443</v>
      </c>
      <c r="M15" s="83">
        <v>136</v>
      </c>
      <c r="N15" s="81">
        <v>6</v>
      </c>
      <c r="O15" s="80">
        <f>SUM(G15:N15)</f>
        <v>2221</v>
      </c>
    </row>
    <row r="16" spans="1:15" x14ac:dyDescent="0.4">
      <c r="B16" s="47" t="s">
        <v>99</v>
      </c>
      <c r="C16" s="59" t="s">
        <v>155</v>
      </c>
      <c r="D16" s="58"/>
      <c r="E16" s="65"/>
      <c r="F16" s="21" t="s">
        <v>97</v>
      </c>
      <c r="G16" s="90">
        <v>160</v>
      </c>
      <c r="H16" s="80">
        <v>281</v>
      </c>
      <c r="I16" s="80">
        <v>352</v>
      </c>
      <c r="J16" s="80">
        <v>436</v>
      </c>
      <c r="K16" s="80">
        <v>773</v>
      </c>
      <c r="L16" s="80">
        <v>717</v>
      </c>
      <c r="M16" s="83">
        <v>167</v>
      </c>
      <c r="N16" s="81">
        <v>4</v>
      </c>
      <c r="O16" s="80">
        <f>SUM(G16:N16)</f>
        <v>2890</v>
      </c>
    </row>
    <row r="17" spans="2:15" x14ac:dyDescent="0.4">
      <c r="C17" s="58"/>
      <c r="D17" s="58"/>
      <c r="E17" s="27"/>
      <c r="F17" s="23" t="s">
        <v>23</v>
      </c>
      <c r="G17" s="89">
        <v>340</v>
      </c>
      <c r="H17" s="78">
        <v>550</v>
      </c>
      <c r="I17" s="78">
        <v>688</v>
      </c>
      <c r="J17" s="78">
        <v>748</v>
      </c>
      <c r="K17" s="78">
        <v>1312</v>
      </c>
      <c r="L17" s="78">
        <v>1160</v>
      </c>
      <c r="M17" s="82">
        <v>303</v>
      </c>
      <c r="N17" s="81">
        <v>10</v>
      </c>
      <c r="O17" s="78">
        <f>SUM(G17:N17)</f>
        <v>5111</v>
      </c>
    </row>
    <row r="18" spans="2:15" x14ac:dyDescent="0.4">
      <c r="B18" s="47" t="s">
        <v>96</v>
      </c>
      <c r="C18" s="59" t="s">
        <v>95</v>
      </c>
      <c r="D18" s="58"/>
      <c r="F18" s="64" t="s">
        <v>94</v>
      </c>
      <c r="G18" s="31">
        <v>6.7000000000000004E-2</v>
      </c>
      <c r="H18" s="31">
        <v>0.108</v>
      </c>
      <c r="I18" s="31">
        <v>0.13500000000000001</v>
      </c>
      <c r="J18" s="76">
        <v>0.14599999999999999</v>
      </c>
      <c r="K18" s="31">
        <v>0.25700000000000001</v>
      </c>
      <c r="L18" s="76">
        <v>0.22700000000000001</v>
      </c>
      <c r="M18" s="76">
        <v>5.8999999999999997E-2</v>
      </c>
      <c r="N18" s="76">
        <v>2E-3</v>
      </c>
      <c r="O18" s="63"/>
    </row>
    <row r="19" spans="2:15" x14ac:dyDescent="0.4">
      <c r="B19" s="47" t="s">
        <v>93</v>
      </c>
      <c r="C19" s="59" t="s">
        <v>154</v>
      </c>
      <c r="D19" s="58"/>
      <c r="G19" s="62"/>
      <c r="H19" s="61"/>
      <c r="I19" s="61"/>
      <c r="J19" s="61"/>
      <c r="K19" s="61"/>
      <c r="L19" s="61"/>
      <c r="M19" s="61"/>
      <c r="N19" s="29"/>
    </row>
    <row r="20" spans="2:15" x14ac:dyDescent="0.4">
      <c r="B20" s="60" t="s">
        <v>91</v>
      </c>
      <c r="C20" s="59" t="s">
        <v>153</v>
      </c>
      <c r="D20" s="58"/>
      <c r="N20" s="27"/>
    </row>
    <row r="21" spans="2:15" x14ac:dyDescent="0.4">
      <c r="M21" s="27"/>
    </row>
    <row r="23" spans="2:15" x14ac:dyDescent="0.4">
      <c r="B23" s="9" t="s">
        <v>89</v>
      </c>
      <c r="O23" s="26"/>
    </row>
    <row r="24" spans="2:15" x14ac:dyDescent="0.4">
      <c r="O24" s="26" t="s">
        <v>32</v>
      </c>
    </row>
    <row r="25" spans="2:15" x14ac:dyDescent="0.4">
      <c r="C25" s="9" t="s">
        <v>88</v>
      </c>
      <c r="F25" s="25"/>
      <c r="G25" s="23" t="s">
        <v>31</v>
      </c>
      <c r="H25" s="22" t="s">
        <v>30</v>
      </c>
      <c r="I25" s="22" t="s">
        <v>29</v>
      </c>
      <c r="J25" s="22" t="s">
        <v>28</v>
      </c>
      <c r="K25" s="22" t="s">
        <v>27</v>
      </c>
      <c r="L25" s="22" t="s">
        <v>26</v>
      </c>
      <c r="M25" s="24" t="s">
        <v>25</v>
      </c>
      <c r="N25" s="23" t="s">
        <v>24</v>
      </c>
      <c r="O25" s="22" t="s">
        <v>23</v>
      </c>
    </row>
    <row r="26" spans="2:15" x14ac:dyDescent="0.4">
      <c r="C26" s="9" t="s">
        <v>87</v>
      </c>
      <c r="F26" s="21">
        <v>1</v>
      </c>
      <c r="G26" s="81">
        <v>32</v>
      </c>
      <c r="H26" s="80">
        <v>59</v>
      </c>
      <c r="I26" s="80">
        <v>112</v>
      </c>
      <c r="J26" s="80">
        <v>158</v>
      </c>
      <c r="K26" s="80">
        <v>324</v>
      </c>
      <c r="L26" s="80">
        <v>382</v>
      </c>
      <c r="M26" s="83">
        <v>89</v>
      </c>
      <c r="N26" s="81">
        <v>2</v>
      </c>
      <c r="O26" s="80">
        <f t="shared" ref="O26:O31" si="0">SUM(G26:N26)</f>
        <v>1158</v>
      </c>
    </row>
    <row r="27" spans="2:15" x14ac:dyDescent="0.4">
      <c r="C27" s="9" t="s">
        <v>86</v>
      </c>
      <c r="F27" s="21">
        <v>2</v>
      </c>
      <c r="G27" s="81">
        <v>53</v>
      </c>
      <c r="H27" s="80">
        <v>109</v>
      </c>
      <c r="I27" s="80">
        <v>127</v>
      </c>
      <c r="J27" s="80">
        <v>124</v>
      </c>
      <c r="K27" s="80">
        <v>176</v>
      </c>
      <c r="L27" s="80">
        <v>149</v>
      </c>
      <c r="M27" s="83">
        <v>33</v>
      </c>
      <c r="N27" s="81">
        <v>2</v>
      </c>
      <c r="O27" s="80">
        <f t="shared" si="0"/>
        <v>773</v>
      </c>
    </row>
    <row r="28" spans="2:15" x14ac:dyDescent="0.4">
      <c r="C28" s="9" t="s">
        <v>85</v>
      </c>
      <c r="F28" s="21">
        <v>3</v>
      </c>
      <c r="G28" s="81">
        <v>60</v>
      </c>
      <c r="H28" s="80">
        <v>119</v>
      </c>
      <c r="I28" s="80">
        <v>159</v>
      </c>
      <c r="J28" s="80">
        <v>150</v>
      </c>
      <c r="K28" s="80">
        <v>197</v>
      </c>
      <c r="L28" s="80">
        <v>115</v>
      </c>
      <c r="M28" s="83">
        <v>27</v>
      </c>
      <c r="N28" s="81">
        <v>0</v>
      </c>
      <c r="O28" s="80">
        <f t="shared" si="0"/>
        <v>827</v>
      </c>
    </row>
    <row r="29" spans="2:15" x14ac:dyDescent="0.4">
      <c r="F29" s="19">
        <v>4</v>
      </c>
      <c r="G29" s="79">
        <v>195</v>
      </c>
      <c r="H29" s="78">
        <v>263</v>
      </c>
      <c r="I29" s="78">
        <v>289</v>
      </c>
      <c r="J29" s="78">
        <v>315</v>
      </c>
      <c r="K29" s="78">
        <v>602</v>
      </c>
      <c r="L29" s="78">
        <v>473</v>
      </c>
      <c r="M29" s="82">
        <v>137</v>
      </c>
      <c r="N29" s="81">
        <v>6</v>
      </c>
      <c r="O29" s="80">
        <f t="shared" si="0"/>
        <v>2280</v>
      </c>
    </row>
    <row r="30" spans="2:15" x14ac:dyDescent="0.4">
      <c r="F30" s="19" t="s">
        <v>151</v>
      </c>
      <c r="G30" s="79">
        <v>0</v>
      </c>
      <c r="H30" s="78">
        <v>0</v>
      </c>
      <c r="I30" s="78">
        <v>1</v>
      </c>
      <c r="J30" s="78">
        <v>1</v>
      </c>
      <c r="K30" s="78">
        <v>13</v>
      </c>
      <c r="L30" s="78">
        <v>41</v>
      </c>
      <c r="M30" s="82">
        <v>17</v>
      </c>
      <c r="N30" s="81">
        <v>0</v>
      </c>
      <c r="O30" s="80">
        <f t="shared" si="0"/>
        <v>73</v>
      </c>
    </row>
    <row r="31" spans="2:15" x14ac:dyDescent="0.4">
      <c r="B31" s="9" t="s">
        <v>54</v>
      </c>
      <c r="F31" s="13" t="s">
        <v>23</v>
      </c>
      <c r="G31" s="79">
        <f t="shared" ref="G31:N31" si="1">SUM(G26:G30)</f>
        <v>340</v>
      </c>
      <c r="H31" s="79">
        <f t="shared" si="1"/>
        <v>550</v>
      </c>
      <c r="I31" s="79">
        <f t="shared" si="1"/>
        <v>688</v>
      </c>
      <c r="J31" s="79">
        <f t="shared" si="1"/>
        <v>748</v>
      </c>
      <c r="K31" s="79">
        <f t="shared" si="1"/>
        <v>1312</v>
      </c>
      <c r="L31" s="79">
        <f t="shared" si="1"/>
        <v>1160</v>
      </c>
      <c r="M31" s="79">
        <f t="shared" si="1"/>
        <v>303</v>
      </c>
      <c r="N31" s="79">
        <f t="shared" si="1"/>
        <v>10</v>
      </c>
      <c r="O31" s="78">
        <f t="shared" si="0"/>
        <v>5111</v>
      </c>
    </row>
    <row r="32" spans="2:15" x14ac:dyDescent="0.4">
      <c r="B32" s="9" t="s">
        <v>141</v>
      </c>
    </row>
    <row r="33" spans="2:15" x14ac:dyDescent="0.4">
      <c r="B33" s="9" t="s">
        <v>140</v>
      </c>
      <c r="G33" s="47" t="s">
        <v>31</v>
      </c>
      <c r="H33" s="47" t="s">
        <v>30</v>
      </c>
      <c r="I33" s="47" t="s">
        <v>29</v>
      </c>
      <c r="J33" s="47" t="s">
        <v>28</v>
      </c>
      <c r="K33" s="47" t="s">
        <v>27</v>
      </c>
      <c r="L33" s="47" t="s">
        <v>26</v>
      </c>
      <c r="M33" s="47" t="s">
        <v>25</v>
      </c>
      <c r="N33" s="47" t="s">
        <v>63</v>
      </c>
    </row>
    <row r="34" spans="2:15" x14ac:dyDescent="0.4">
      <c r="G34" s="46">
        <v>0.42599999999999999</v>
      </c>
      <c r="H34" s="46">
        <v>0.52200000000000002</v>
      </c>
      <c r="I34" s="46">
        <v>0.57799999999999996</v>
      </c>
      <c r="J34" s="46">
        <v>0.57799999999999996</v>
      </c>
      <c r="K34" s="46">
        <v>0.53100000000000003</v>
      </c>
      <c r="L34" s="46">
        <v>0.55700000000000005</v>
      </c>
      <c r="M34" s="46">
        <v>0.49199999999999999</v>
      </c>
      <c r="N34" s="46">
        <v>0.4</v>
      </c>
    </row>
    <row r="38" spans="2:15" x14ac:dyDescent="0.4">
      <c r="B38" s="9" t="s">
        <v>80</v>
      </c>
      <c r="O38" s="26"/>
    </row>
    <row r="39" spans="2:15" x14ac:dyDescent="0.4">
      <c r="O39" s="26" t="s">
        <v>32</v>
      </c>
    </row>
    <row r="40" spans="2:15" x14ac:dyDescent="0.4">
      <c r="C40" s="9" t="s">
        <v>22</v>
      </c>
      <c r="D40" s="53"/>
      <c r="F40" s="25"/>
      <c r="G40" s="23" t="s">
        <v>31</v>
      </c>
      <c r="H40" s="22" t="s">
        <v>30</v>
      </c>
      <c r="I40" s="22" t="s">
        <v>29</v>
      </c>
      <c r="J40" s="22" t="s">
        <v>28</v>
      </c>
      <c r="K40" s="22" t="s">
        <v>27</v>
      </c>
      <c r="L40" s="22" t="s">
        <v>26</v>
      </c>
      <c r="M40" s="24" t="s">
        <v>25</v>
      </c>
      <c r="N40" s="23" t="s">
        <v>24</v>
      </c>
      <c r="O40" s="22" t="s">
        <v>23</v>
      </c>
    </row>
    <row r="41" spans="2:15" x14ac:dyDescent="0.4">
      <c r="C41" s="9" t="s">
        <v>75</v>
      </c>
      <c r="D41" s="10">
        <v>0.28899999999999998</v>
      </c>
      <c r="F41" s="21">
        <v>1</v>
      </c>
      <c r="G41" s="81">
        <v>76</v>
      </c>
      <c r="H41" s="80">
        <v>141</v>
      </c>
      <c r="I41" s="80">
        <v>182</v>
      </c>
      <c r="J41" s="80">
        <v>218</v>
      </c>
      <c r="K41" s="80">
        <v>380</v>
      </c>
      <c r="L41" s="80">
        <v>374</v>
      </c>
      <c r="M41" s="83">
        <v>104</v>
      </c>
      <c r="N41" s="81">
        <v>4</v>
      </c>
      <c r="O41" s="80">
        <f>SUM(G41:N41)</f>
        <v>1479</v>
      </c>
    </row>
    <row r="42" spans="2:15" x14ac:dyDescent="0.4">
      <c r="C42" s="9" t="s">
        <v>74</v>
      </c>
      <c r="D42" s="10">
        <v>0.70099999999999996</v>
      </c>
      <c r="F42" s="21">
        <v>2</v>
      </c>
      <c r="G42" s="81">
        <v>264</v>
      </c>
      <c r="H42" s="80">
        <v>408</v>
      </c>
      <c r="I42" s="80">
        <v>502</v>
      </c>
      <c r="J42" s="80">
        <v>526</v>
      </c>
      <c r="K42" s="80">
        <v>919</v>
      </c>
      <c r="L42" s="80">
        <v>764</v>
      </c>
      <c r="M42" s="83">
        <v>193</v>
      </c>
      <c r="N42" s="81">
        <v>6</v>
      </c>
      <c r="O42" s="80">
        <f>SUM(G42:N42)</f>
        <v>3582</v>
      </c>
    </row>
    <row r="43" spans="2:15" x14ac:dyDescent="0.4">
      <c r="C43" s="9" t="s">
        <v>152</v>
      </c>
      <c r="D43" s="10">
        <v>0.01</v>
      </c>
      <c r="F43" s="19" t="s">
        <v>151</v>
      </c>
      <c r="G43" s="79">
        <v>0</v>
      </c>
      <c r="H43" s="78">
        <v>1</v>
      </c>
      <c r="I43" s="78">
        <v>4</v>
      </c>
      <c r="J43" s="78">
        <v>4</v>
      </c>
      <c r="K43" s="78">
        <v>13</v>
      </c>
      <c r="L43" s="78">
        <v>22</v>
      </c>
      <c r="M43" s="82">
        <v>6</v>
      </c>
      <c r="N43" s="81">
        <v>0</v>
      </c>
      <c r="O43" s="80">
        <f>SUM(G43:N43)</f>
        <v>50</v>
      </c>
    </row>
    <row r="44" spans="2:15" x14ac:dyDescent="0.4">
      <c r="F44" s="13" t="s">
        <v>23</v>
      </c>
      <c r="G44" s="79">
        <f t="shared" ref="G44:O44" si="2">SUM(G41:G43)</f>
        <v>340</v>
      </c>
      <c r="H44" s="79">
        <f t="shared" si="2"/>
        <v>550</v>
      </c>
      <c r="I44" s="79">
        <f t="shared" si="2"/>
        <v>688</v>
      </c>
      <c r="J44" s="79">
        <f t="shared" si="2"/>
        <v>748</v>
      </c>
      <c r="K44" s="79">
        <f t="shared" si="2"/>
        <v>1312</v>
      </c>
      <c r="L44" s="79">
        <f t="shared" si="2"/>
        <v>1160</v>
      </c>
      <c r="M44" s="79">
        <f t="shared" si="2"/>
        <v>303</v>
      </c>
      <c r="N44" s="79">
        <f t="shared" si="2"/>
        <v>10</v>
      </c>
      <c r="O44" s="79">
        <f t="shared" si="2"/>
        <v>5111</v>
      </c>
    </row>
    <row r="46" spans="2:15" x14ac:dyDescent="0.4">
      <c r="B46" s="9" t="s">
        <v>54</v>
      </c>
      <c r="G46" s="47" t="s">
        <v>31</v>
      </c>
      <c r="H46" s="47" t="s">
        <v>30</v>
      </c>
      <c r="I46" s="47" t="s">
        <v>29</v>
      </c>
      <c r="J46" s="47" t="s">
        <v>28</v>
      </c>
      <c r="K46" s="47" t="s">
        <v>27</v>
      </c>
      <c r="L46" s="47" t="s">
        <v>26</v>
      </c>
      <c r="M46" s="47" t="s">
        <v>25</v>
      </c>
      <c r="N46" s="47" t="s">
        <v>63</v>
      </c>
    </row>
    <row r="47" spans="2:15" x14ac:dyDescent="0.4">
      <c r="B47" s="9" t="s">
        <v>139</v>
      </c>
      <c r="G47" s="46">
        <v>0.224</v>
      </c>
      <c r="H47" s="46">
        <v>0.25600000000000001</v>
      </c>
      <c r="I47" s="46">
        <v>0.26500000000000001</v>
      </c>
      <c r="J47" s="46">
        <v>0.29099999999999998</v>
      </c>
      <c r="K47" s="46">
        <v>0.28999999999999998</v>
      </c>
      <c r="L47" s="46">
        <v>0.32200000000000001</v>
      </c>
      <c r="M47" s="46">
        <v>0.34300000000000003</v>
      </c>
      <c r="N47" s="46">
        <v>0.4</v>
      </c>
    </row>
    <row r="51" spans="2:15" x14ac:dyDescent="0.4">
      <c r="B51" s="9" t="s">
        <v>77</v>
      </c>
      <c r="O51" s="26"/>
    </row>
    <row r="52" spans="2:15" x14ac:dyDescent="0.4">
      <c r="O52" s="26" t="s">
        <v>32</v>
      </c>
    </row>
    <row r="53" spans="2:15" x14ac:dyDescent="0.4">
      <c r="B53" s="28"/>
      <c r="C53" s="9" t="s">
        <v>22</v>
      </c>
      <c r="D53" s="53"/>
      <c r="F53" s="25"/>
      <c r="G53" s="23" t="s">
        <v>31</v>
      </c>
      <c r="H53" s="22" t="s">
        <v>30</v>
      </c>
      <c r="I53" s="22" t="s">
        <v>29</v>
      </c>
      <c r="J53" s="22" t="s">
        <v>28</v>
      </c>
      <c r="K53" s="22" t="s">
        <v>27</v>
      </c>
      <c r="L53" s="22" t="s">
        <v>26</v>
      </c>
      <c r="M53" s="24" t="s">
        <v>25</v>
      </c>
      <c r="N53" s="23" t="s">
        <v>24</v>
      </c>
      <c r="O53" s="22" t="s">
        <v>23</v>
      </c>
    </row>
    <row r="54" spans="2:15" x14ac:dyDescent="0.4">
      <c r="C54" s="9" t="s">
        <v>75</v>
      </c>
      <c r="D54" s="10">
        <v>0.153</v>
      </c>
      <c r="F54" s="21">
        <v>1</v>
      </c>
      <c r="G54" s="81">
        <v>86</v>
      </c>
      <c r="H54" s="80">
        <v>109</v>
      </c>
      <c r="I54" s="80">
        <v>137</v>
      </c>
      <c r="J54" s="80">
        <v>133</v>
      </c>
      <c r="K54" s="80">
        <v>194</v>
      </c>
      <c r="L54" s="80">
        <v>105</v>
      </c>
      <c r="M54" s="83">
        <v>20</v>
      </c>
      <c r="N54" s="81">
        <v>0</v>
      </c>
      <c r="O54" s="80">
        <f>SUM(G54:N54)</f>
        <v>784</v>
      </c>
    </row>
    <row r="55" spans="2:15" x14ac:dyDescent="0.4">
      <c r="C55" s="9" t="s">
        <v>74</v>
      </c>
      <c r="D55" s="10">
        <v>0.81599999999999995</v>
      </c>
      <c r="F55" s="21">
        <v>2</v>
      </c>
      <c r="G55" s="81">
        <v>253</v>
      </c>
      <c r="H55" s="80">
        <v>440</v>
      </c>
      <c r="I55" s="80">
        <v>548</v>
      </c>
      <c r="J55" s="80">
        <v>599</v>
      </c>
      <c r="K55" s="80">
        <v>1067</v>
      </c>
      <c r="L55" s="80">
        <v>988</v>
      </c>
      <c r="M55" s="83">
        <v>266</v>
      </c>
      <c r="N55" s="81">
        <v>10</v>
      </c>
      <c r="O55" s="80">
        <f>SUM(G55:N55)</f>
        <v>4171</v>
      </c>
    </row>
    <row r="56" spans="2:15" x14ac:dyDescent="0.4">
      <c r="C56" s="9" t="s">
        <v>152</v>
      </c>
      <c r="D56" s="10">
        <v>3.1E-2</v>
      </c>
      <c r="F56" s="19" t="s">
        <v>151</v>
      </c>
      <c r="G56" s="79">
        <v>1</v>
      </c>
      <c r="H56" s="78">
        <v>1</v>
      </c>
      <c r="I56" s="78">
        <v>3</v>
      </c>
      <c r="J56" s="78">
        <v>16</v>
      </c>
      <c r="K56" s="78">
        <v>51</v>
      </c>
      <c r="L56" s="78">
        <v>67</v>
      </c>
      <c r="M56" s="82">
        <v>17</v>
      </c>
      <c r="N56" s="81">
        <v>0</v>
      </c>
      <c r="O56" s="80">
        <f>SUM(G56:N56)</f>
        <v>156</v>
      </c>
    </row>
    <row r="57" spans="2:15" x14ac:dyDescent="0.4">
      <c r="F57" s="13" t="s">
        <v>23</v>
      </c>
      <c r="G57" s="79">
        <f t="shared" ref="G57:M57" si="3">SUM(G54:G56)</f>
        <v>340</v>
      </c>
      <c r="H57" s="79">
        <f t="shared" si="3"/>
        <v>550</v>
      </c>
      <c r="I57" s="79">
        <f t="shared" si="3"/>
        <v>688</v>
      </c>
      <c r="J57" s="79">
        <f t="shared" si="3"/>
        <v>748</v>
      </c>
      <c r="K57" s="79">
        <f t="shared" si="3"/>
        <v>1312</v>
      </c>
      <c r="L57" s="79">
        <f t="shared" si="3"/>
        <v>1160</v>
      </c>
      <c r="M57" s="79">
        <f t="shared" si="3"/>
        <v>303</v>
      </c>
      <c r="N57" s="79">
        <v>10</v>
      </c>
      <c r="O57" s="79">
        <f>SUM(O54:O56)</f>
        <v>5111</v>
      </c>
    </row>
    <row r="59" spans="2:15" x14ac:dyDescent="0.4">
      <c r="G59" s="47" t="s">
        <v>31</v>
      </c>
      <c r="H59" s="47" t="s">
        <v>30</v>
      </c>
      <c r="I59" s="47" t="s">
        <v>29</v>
      </c>
      <c r="J59" s="47" t="s">
        <v>28</v>
      </c>
      <c r="K59" s="47" t="s">
        <v>27</v>
      </c>
      <c r="L59" s="47" t="s">
        <v>26</v>
      </c>
      <c r="M59" s="47" t="s">
        <v>25</v>
      </c>
      <c r="N59" s="47" t="s">
        <v>63</v>
      </c>
    </row>
    <row r="60" spans="2:15" x14ac:dyDescent="0.4">
      <c r="G60" s="46">
        <v>0.253</v>
      </c>
      <c r="H60" s="46">
        <v>0.19800000000000001</v>
      </c>
      <c r="I60" s="46">
        <v>0.19900000000000001</v>
      </c>
      <c r="J60" s="46">
        <v>0.17799999999999999</v>
      </c>
      <c r="K60" s="46">
        <v>0.14799999999999999</v>
      </c>
      <c r="L60" s="46">
        <v>9.0999999999999998E-2</v>
      </c>
      <c r="M60" s="46">
        <v>6.6000000000000003E-2</v>
      </c>
      <c r="N60" s="46">
        <v>0</v>
      </c>
    </row>
    <row r="61" spans="2:15" x14ac:dyDescent="0.4">
      <c r="G61" s="75"/>
      <c r="H61" s="75"/>
      <c r="I61" s="75"/>
      <c r="J61" s="75"/>
      <c r="K61" s="75"/>
      <c r="L61" s="75"/>
      <c r="M61" s="75"/>
      <c r="N61" s="75"/>
    </row>
    <row r="63" spans="2:15" x14ac:dyDescent="0.4">
      <c r="B63" s="9" t="s">
        <v>76</v>
      </c>
      <c r="O63" s="26"/>
    </row>
    <row r="64" spans="2:15" x14ac:dyDescent="0.4">
      <c r="O64" s="26" t="s">
        <v>32</v>
      </c>
    </row>
    <row r="65" spans="2:15" x14ac:dyDescent="0.4">
      <c r="B65" s="28"/>
      <c r="C65" s="9" t="s">
        <v>22</v>
      </c>
      <c r="D65" s="53"/>
      <c r="F65" s="25"/>
      <c r="G65" s="23" t="s">
        <v>31</v>
      </c>
      <c r="H65" s="22" t="s">
        <v>30</v>
      </c>
      <c r="I65" s="22" t="s">
        <v>29</v>
      </c>
      <c r="J65" s="22" t="s">
        <v>28</v>
      </c>
      <c r="K65" s="22" t="s">
        <v>27</v>
      </c>
      <c r="L65" s="22" t="s">
        <v>26</v>
      </c>
      <c r="M65" s="24" t="s">
        <v>25</v>
      </c>
      <c r="N65" s="23" t="s">
        <v>24</v>
      </c>
      <c r="O65" s="22" t="s">
        <v>23</v>
      </c>
    </row>
    <row r="66" spans="2:15" x14ac:dyDescent="0.4">
      <c r="C66" s="9" t="s">
        <v>75</v>
      </c>
      <c r="D66" s="10">
        <v>6.4000000000000001E-2</v>
      </c>
      <c r="F66" s="21">
        <v>1</v>
      </c>
      <c r="G66" s="81">
        <v>15</v>
      </c>
      <c r="H66" s="80">
        <v>29</v>
      </c>
      <c r="I66" s="80">
        <v>48</v>
      </c>
      <c r="J66" s="80">
        <v>56</v>
      </c>
      <c r="K66" s="80">
        <v>95</v>
      </c>
      <c r="L66" s="80">
        <v>70</v>
      </c>
      <c r="M66" s="83">
        <v>13</v>
      </c>
      <c r="N66" s="81">
        <v>0</v>
      </c>
      <c r="O66" s="80">
        <f>SUM(G66:N66)</f>
        <v>326</v>
      </c>
    </row>
    <row r="67" spans="2:15" x14ac:dyDescent="0.4">
      <c r="C67" s="9" t="s">
        <v>74</v>
      </c>
      <c r="D67" s="10">
        <v>0.878</v>
      </c>
      <c r="F67" s="21">
        <v>2</v>
      </c>
      <c r="G67" s="81">
        <v>319</v>
      </c>
      <c r="H67" s="80">
        <v>517</v>
      </c>
      <c r="I67" s="80">
        <v>627</v>
      </c>
      <c r="J67" s="80">
        <v>657</v>
      </c>
      <c r="K67" s="80">
        <v>1124</v>
      </c>
      <c r="L67" s="80">
        <v>977</v>
      </c>
      <c r="M67" s="83">
        <v>257</v>
      </c>
      <c r="N67" s="81">
        <v>10</v>
      </c>
      <c r="O67" s="80">
        <f>SUM(G67:N67)</f>
        <v>4488</v>
      </c>
    </row>
    <row r="68" spans="2:15" x14ac:dyDescent="0.4">
      <c r="C68" s="9" t="s">
        <v>152</v>
      </c>
      <c r="D68" s="10">
        <v>5.8000000000000003E-2</v>
      </c>
      <c r="F68" s="19" t="s">
        <v>151</v>
      </c>
      <c r="G68" s="79">
        <v>6</v>
      </c>
      <c r="H68" s="78">
        <v>4</v>
      </c>
      <c r="I68" s="78">
        <v>13</v>
      </c>
      <c r="J68" s="78">
        <v>35</v>
      </c>
      <c r="K68" s="78">
        <v>93</v>
      </c>
      <c r="L68" s="78">
        <v>113</v>
      </c>
      <c r="M68" s="82">
        <v>33</v>
      </c>
      <c r="N68" s="81">
        <v>0</v>
      </c>
      <c r="O68" s="80">
        <f>SUM(G68:N68)</f>
        <v>297</v>
      </c>
    </row>
    <row r="69" spans="2:15" x14ac:dyDescent="0.4">
      <c r="F69" s="13" t="s">
        <v>23</v>
      </c>
      <c r="G69" s="79">
        <f t="shared" ref="G69:O69" si="4">SUM(G66:G68)</f>
        <v>340</v>
      </c>
      <c r="H69" s="79">
        <f t="shared" si="4"/>
        <v>550</v>
      </c>
      <c r="I69" s="79">
        <f t="shared" si="4"/>
        <v>688</v>
      </c>
      <c r="J69" s="79">
        <f t="shared" si="4"/>
        <v>748</v>
      </c>
      <c r="K69" s="79">
        <f t="shared" si="4"/>
        <v>1312</v>
      </c>
      <c r="L69" s="79">
        <f t="shared" si="4"/>
        <v>1160</v>
      </c>
      <c r="M69" s="79">
        <f t="shared" si="4"/>
        <v>303</v>
      </c>
      <c r="N69" s="79">
        <f t="shared" si="4"/>
        <v>10</v>
      </c>
      <c r="O69" s="79">
        <f t="shared" si="4"/>
        <v>5111</v>
      </c>
    </row>
    <row r="71" spans="2:15" x14ac:dyDescent="0.4">
      <c r="G71" s="47" t="s">
        <v>31</v>
      </c>
      <c r="H71" s="47" t="s">
        <v>30</v>
      </c>
      <c r="I71" s="47" t="s">
        <v>29</v>
      </c>
      <c r="J71" s="47" t="s">
        <v>28</v>
      </c>
      <c r="K71" s="47" t="s">
        <v>27</v>
      </c>
      <c r="L71" s="47" t="s">
        <v>26</v>
      </c>
      <c r="M71" s="47" t="s">
        <v>25</v>
      </c>
      <c r="N71" s="47" t="s">
        <v>63</v>
      </c>
    </row>
    <row r="72" spans="2:15" x14ac:dyDescent="0.4">
      <c r="G72" s="46">
        <v>4.3999999999999997E-2</v>
      </c>
      <c r="H72" s="46">
        <v>5.2999999999999999E-2</v>
      </c>
      <c r="I72" s="46">
        <v>7.0000000000000007E-2</v>
      </c>
      <c r="J72" s="46">
        <v>7.4999999999999997E-2</v>
      </c>
      <c r="K72" s="46">
        <v>7.1999999999999995E-2</v>
      </c>
      <c r="L72" s="46">
        <v>0.06</v>
      </c>
      <c r="M72" s="46">
        <v>4.2999999999999997E-2</v>
      </c>
      <c r="N72" s="46">
        <v>0</v>
      </c>
    </row>
    <row r="73" spans="2:15" ht="13.5" customHeight="1" x14ac:dyDescent="0.4"/>
    <row r="80" spans="2:15" x14ac:dyDescent="0.4">
      <c r="B80" s="9" t="s">
        <v>138</v>
      </c>
      <c r="O80" s="26"/>
    </row>
    <row r="81" spans="2:15" x14ac:dyDescent="0.4">
      <c r="O81" s="26" t="s">
        <v>32</v>
      </c>
    </row>
    <row r="82" spans="2:15" x14ac:dyDescent="0.4">
      <c r="B82" s="28"/>
      <c r="C82" s="9" t="s">
        <v>22</v>
      </c>
      <c r="D82" s="53"/>
      <c r="F82" s="25"/>
      <c r="G82" s="23" t="s">
        <v>31</v>
      </c>
      <c r="H82" s="22" t="s">
        <v>30</v>
      </c>
      <c r="I82" s="22" t="s">
        <v>29</v>
      </c>
      <c r="J82" s="22" t="s">
        <v>28</v>
      </c>
      <c r="K82" s="22" t="s">
        <v>27</v>
      </c>
      <c r="L82" s="22" t="s">
        <v>26</v>
      </c>
      <c r="M82" s="24" t="s">
        <v>25</v>
      </c>
      <c r="N82" s="23" t="s">
        <v>24</v>
      </c>
      <c r="O82" s="22" t="s">
        <v>23</v>
      </c>
    </row>
    <row r="83" spans="2:15" x14ac:dyDescent="0.4">
      <c r="C83" s="9" t="s">
        <v>75</v>
      </c>
      <c r="D83" s="10">
        <v>0.84699999999999998</v>
      </c>
      <c r="F83" s="21">
        <v>1</v>
      </c>
      <c r="G83" s="81">
        <v>310</v>
      </c>
      <c r="H83" s="80">
        <v>512</v>
      </c>
      <c r="I83" s="80">
        <v>629</v>
      </c>
      <c r="J83" s="80">
        <v>629</v>
      </c>
      <c r="K83" s="80">
        <v>1065</v>
      </c>
      <c r="L83" s="80">
        <v>930</v>
      </c>
      <c r="M83" s="83">
        <v>243</v>
      </c>
      <c r="N83" s="81">
        <v>9</v>
      </c>
      <c r="O83" s="80">
        <f>SUM(G83:N83)</f>
        <v>4327</v>
      </c>
    </row>
    <row r="84" spans="2:15" x14ac:dyDescent="0.4">
      <c r="C84" s="9" t="s">
        <v>74</v>
      </c>
      <c r="D84" s="10">
        <v>0.112</v>
      </c>
      <c r="F84" s="21">
        <v>2</v>
      </c>
      <c r="G84" s="81">
        <v>26</v>
      </c>
      <c r="H84" s="80">
        <v>32</v>
      </c>
      <c r="I84" s="80">
        <v>48</v>
      </c>
      <c r="J84" s="80">
        <v>99</v>
      </c>
      <c r="K84" s="80">
        <v>178</v>
      </c>
      <c r="L84" s="80">
        <v>157</v>
      </c>
      <c r="M84" s="83">
        <v>30</v>
      </c>
      <c r="N84" s="81">
        <v>1</v>
      </c>
      <c r="O84" s="80">
        <f>SUM(G84:N84)</f>
        <v>571</v>
      </c>
    </row>
    <row r="85" spans="2:15" x14ac:dyDescent="0.4">
      <c r="C85" s="9" t="s">
        <v>152</v>
      </c>
      <c r="D85" s="10">
        <v>4.2000000000000003E-2</v>
      </c>
      <c r="F85" s="19" t="s">
        <v>151</v>
      </c>
      <c r="G85" s="79">
        <v>4</v>
      </c>
      <c r="H85" s="78">
        <v>6</v>
      </c>
      <c r="I85" s="78">
        <v>11</v>
      </c>
      <c r="J85" s="78">
        <v>20</v>
      </c>
      <c r="K85" s="78">
        <v>69</v>
      </c>
      <c r="L85" s="78">
        <v>73</v>
      </c>
      <c r="M85" s="82">
        <v>30</v>
      </c>
      <c r="N85" s="81">
        <v>0</v>
      </c>
      <c r="O85" s="80">
        <f>SUM(G85:N85)</f>
        <v>213</v>
      </c>
    </row>
    <row r="86" spans="2:15" x14ac:dyDescent="0.4">
      <c r="D86" s="34"/>
      <c r="F86" s="13" t="s">
        <v>23</v>
      </c>
      <c r="G86" s="79">
        <f t="shared" ref="G86:O86" si="5">SUM(G83:G85)</f>
        <v>340</v>
      </c>
      <c r="H86" s="79">
        <f t="shared" si="5"/>
        <v>550</v>
      </c>
      <c r="I86" s="79">
        <f t="shared" si="5"/>
        <v>688</v>
      </c>
      <c r="J86" s="79">
        <f t="shared" si="5"/>
        <v>748</v>
      </c>
      <c r="K86" s="79">
        <f t="shared" si="5"/>
        <v>1312</v>
      </c>
      <c r="L86" s="79">
        <f t="shared" si="5"/>
        <v>1160</v>
      </c>
      <c r="M86" s="79">
        <f t="shared" si="5"/>
        <v>303</v>
      </c>
      <c r="N86" s="79">
        <f t="shared" si="5"/>
        <v>10</v>
      </c>
      <c r="O86" s="79">
        <f t="shared" si="5"/>
        <v>5111</v>
      </c>
    </row>
    <row r="88" spans="2:15" x14ac:dyDescent="0.4">
      <c r="B88" s="9" t="s">
        <v>54</v>
      </c>
      <c r="G88" s="47" t="s">
        <v>31</v>
      </c>
      <c r="H88" s="47" t="s">
        <v>30</v>
      </c>
      <c r="I88" s="47" t="s">
        <v>29</v>
      </c>
      <c r="J88" s="47" t="s">
        <v>28</v>
      </c>
      <c r="K88" s="47" t="s">
        <v>27</v>
      </c>
      <c r="L88" s="47" t="s">
        <v>26</v>
      </c>
      <c r="M88" s="47" t="s">
        <v>25</v>
      </c>
      <c r="N88" s="47" t="s">
        <v>63</v>
      </c>
    </row>
    <row r="89" spans="2:15" x14ac:dyDescent="0.4">
      <c r="B89" s="9" t="s">
        <v>137</v>
      </c>
      <c r="G89" s="46">
        <v>0.91200000000000003</v>
      </c>
      <c r="H89" s="46">
        <v>0.93100000000000005</v>
      </c>
      <c r="I89" s="46">
        <v>0.91400000000000003</v>
      </c>
      <c r="J89" s="46">
        <v>0.84099999999999997</v>
      </c>
      <c r="K89" s="46">
        <v>0.81200000000000006</v>
      </c>
      <c r="L89" s="46">
        <v>0.80200000000000005</v>
      </c>
      <c r="M89" s="46">
        <v>0.80200000000000005</v>
      </c>
      <c r="N89" s="46">
        <v>0.9</v>
      </c>
    </row>
    <row r="90" spans="2:15" x14ac:dyDescent="0.4">
      <c r="D90" s="9" t="s">
        <v>136</v>
      </c>
    </row>
    <row r="94" spans="2:15" x14ac:dyDescent="0.4">
      <c r="B94" s="9" t="s">
        <v>135</v>
      </c>
      <c r="O94" s="26"/>
    </row>
    <row r="95" spans="2:15" x14ac:dyDescent="0.4">
      <c r="O95" s="26" t="s">
        <v>32</v>
      </c>
    </row>
    <row r="96" spans="2:15" x14ac:dyDescent="0.4">
      <c r="B96" s="28"/>
      <c r="C96" s="9" t="s">
        <v>22</v>
      </c>
      <c r="D96" s="53"/>
      <c r="F96" s="25"/>
      <c r="G96" s="23" t="s">
        <v>31</v>
      </c>
      <c r="H96" s="22" t="s">
        <v>30</v>
      </c>
      <c r="I96" s="22" t="s">
        <v>29</v>
      </c>
      <c r="J96" s="22" t="s">
        <v>28</v>
      </c>
      <c r="K96" s="22" t="s">
        <v>27</v>
      </c>
      <c r="L96" s="22" t="s">
        <v>26</v>
      </c>
      <c r="M96" s="24" t="s">
        <v>25</v>
      </c>
      <c r="N96" s="23" t="s">
        <v>24</v>
      </c>
      <c r="O96" s="22" t="s">
        <v>23</v>
      </c>
    </row>
    <row r="97" spans="2:15" x14ac:dyDescent="0.4">
      <c r="C97" s="9" t="s">
        <v>75</v>
      </c>
      <c r="D97" s="10">
        <v>0.69699999999999995</v>
      </c>
      <c r="F97" s="21">
        <v>1</v>
      </c>
      <c r="G97" s="81">
        <v>236</v>
      </c>
      <c r="H97" s="80">
        <v>386</v>
      </c>
      <c r="I97" s="80">
        <v>475</v>
      </c>
      <c r="J97" s="80">
        <v>487</v>
      </c>
      <c r="K97" s="80">
        <v>886</v>
      </c>
      <c r="L97" s="80">
        <v>847</v>
      </c>
      <c r="M97" s="83">
        <v>240</v>
      </c>
      <c r="N97" s="81">
        <v>4</v>
      </c>
      <c r="O97" s="80">
        <f>SUM(G97:N97)</f>
        <v>3561</v>
      </c>
    </row>
    <row r="98" spans="2:15" x14ac:dyDescent="0.4">
      <c r="C98" s="9" t="s">
        <v>74</v>
      </c>
      <c r="D98" s="10">
        <v>0.23799999999999999</v>
      </c>
      <c r="F98" s="21">
        <v>2</v>
      </c>
      <c r="G98" s="81">
        <v>95</v>
      </c>
      <c r="H98" s="80">
        <v>150</v>
      </c>
      <c r="I98" s="80">
        <v>192</v>
      </c>
      <c r="J98" s="80">
        <v>234</v>
      </c>
      <c r="K98" s="80">
        <v>322</v>
      </c>
      <c r="L98" s="80">
        <v>191</v>
      </c>
      <c r="M98" s="83">
        <v>27</v>
      </c>
      <c r="N98" s="81">
        <v>3</v>
      </c>
      <c r="O98" s="80">
        <f>SUM(G98:N98)</f>
        <v>1214</v>
      </c>
    </row>
    <row r="99" spans="2:15" x14ac:dyDescent="0.4">
      <c r="C99" s="9" t="s">
        <v>152</v>
      </c>
      <c r="D99" s="10">
        <v>6.6000000000000003E-2</v>
      </c>
      <c r="F99" s="19" t="s">
        <v>151</v>
      </c>
      <c r="G99" s="79">
        <v>9</v>
      </c>
      <c r="H99" s="78">
        <v>14</v>
      </c>
      <c r="I99" s="78">
        <v>21</v>
      </c>
      <c r="J99" s="78">
        <v>27</v>
      </c>
      <c r="K99" s="78">
        <v>104</v>
      </c>
      <c r="L99" s="78">
        <v>122</v>
      </c>
      <c r="M99" s="82">
        <v>36</v>
      </c>
      <c r="N99" s="81">
        <v>3</v>
      </c>
      <c r="O99" s="80">
        <f>SUM(G99:N99)</f>
        <v>336</v>
      </c>
    </row>
    <row r="100" spans="2:15" x14ac:dyDescent="0.4">
      <c r="F100" s="13" t="s">
        <v>23</v>
      </c>
      <c r="G100" s="79">
        <f t="shared" ref="G100:O100" si="6">SUM(G97:G99)</f>
        <v>340</v>
      </c>
      <c r="H100" s="79">
        <f t="shared" si="6"/>
        <v>550</v>
      </c>
      <c r="I100" s="79">
        <f t="shared" si="6"/>
        <v>688</v>
      </c>
      <c r="J100" s="79">
        <f t="shared" si="6"/>
        <v>748</v>
      </c>
      <c r="K100" s="79">
        <f t="shared" si="6"/>
        <v>1312</v>
      </c>
      <c r="L100" s="79">
        <f t="shared" si="6"/>
        <v>1160</v>
      </c>
      <c r="M100" s="79">
        <f t="shared" si="6"/>
        <v>303</v>
      </c>
      <c r="N100" s="79">
        <f t="shared" si="6"/>
        <v>10</v>
      </c>
      <c r="O100" s="79">
        <f t="shared" si="6"/>
        <v>5111</v>
      </c>
    </row>
    <row r="102" spans="2:15" x14ac:dyDescent="0.4">
      <c r="G102" s="47" t="s">
        <v>31</v>
      </c>
      <c r="H102" s="47" t="s">
        <v>30</v>
      </c>
      <c r="I102" s="47" t="s">
        <v>29</v>
      </c>
      <c r="J102" s="47" t="s">
        <v>28</v>
      </c>
      <c r="K102" s="47" t="s">
        <v>27</v>
      </c>
      <c r="L102" s="47" t="s">
        <v>26</v>
      </c>
      <c r="M102" s="47" t="s">
        <v>25</v>
      </c>
      <c r="N102" s="47" t="s">
        <v>63</v>
      </c>
    </row>
    <row r="103" spans="2:15" x14ac:dyDescent="0.4">
      <c r="G103" s="46">
        <v>0.69399999999999995</v>
      </c>
      <c r="H103" s="46">
        <v>0.70199999999999996</v>
      </c>
      <c r="I103" s="46">
        <v>0.69</v>
      </c>
      <c r="J103" s="46">
        <v>0.65100000000000002</v>
      </c>
      <c r="K103" s="46">
        <v>0.67500000000000004</v>
      </c>
      <c r="L103" s="46">
        <v>0.73</v>
      </c>
      <c r="M103" s="46">
        <v>0.79200000000000004</v>
      </c>
      <c r="N103" s="46">
        <v>0.4</v>
      </c>
    </row>
    <row r="104" spans="2:15" x14ac:dyDescent="0.4">
      <c r="G104" s="75"/>
      <c r="H104" s="75"/>
      <c r="I104" s="75"/>
      <c r="J104" s="75"/>
      <c r="K104" s="75"/>
      <c r="L104" s="75"/>
      <c r="M104" s="75"/>
      <c r="N104" s="75"/>
    </row>
    <row r="105" spans="2:15" x14ac:dyDescent="0.4">
      <c r="K105" s="77"/>
    </row>
    <row r="107" spans="2:15" x14ac:dyDescent="0.4">
      <c r="B107" s="9" t="s">
        <v>134</v>
      </c>
      <c r="O107" s="26"/>
    </row>
    <row r="108" spans="2:15" x14ac:dyDescent="0.4">
      <c r="O108" s="26" t="s">
        <v>32</v>
      </c>
    </row>
    <row r="109" spans="2:15" x14ac:dyDescent="0.4">
      <c r="B109" s="28"/>
      <c r="C109" s="9" t="s">
        <v>22</v>
      </c>
      <c r="D109" s="53"/>
      <c r="F109" s="25"/>
      <c r="G109" s="23" t="s">
        <v>31</v>
      </c>
      <c r="H109" s="22" t="s">
        <v>30</v>
      </c>
      <c r="I109" s="22" t="s">
        <v>29</v>
      </c>
      <c r="J109" s="22" t="s">
        <v>28</v>
      </c>
      <c r="K109" s="22" t="s">
        <v>27</v>
      </c>
      <c r="L109" s="22" t="s">
        <v>26</v>
      </c>
      <c r="M109" s="24" t="s">
        <v>25</v>
      </c>
      <c r="N109" s="23" t="s">
        <v>24</v>
      </c>
      <c r="O109" s="22" t="s">
        <v>23</v>
      </c>
    </row>
    <row r="110" spans="2:15" x14ac:dyDescent="0.4">
      <c r="C110" s="9" t="s">
        <v>75</v>
      </c>
      <c r="D110" s="10">
        <v>0.88300000000000001</v>
      </c>
      <c r="F110" s="21">
        <v>1</v>
      </c>
      <c r="G110" s="81">
        <v>307</v>
      </c>
      <c r="H110" s="80">
        <v>502</v>
      </c>
      <c r="I110" s="80">
        <v>625</v>
      </c>
      <c r="J110" s="80">
        <v>670</v>
      </c>
      <c r="K110" s="80">
        <v>1134</v>
      </c>
      <c r="L110" s="80">
        <v>1006</v>
      </c>
      <c r="M110" s="83">
        <v>261</v>
      </c>
      <c r="N110" s="81">
        <v>6</v>
      </c>
      <c r="O110" s="80">
        <f>SUM(G110:N110)</f>
        <v>4511</v>
      </c>
    </row>
    <row r="111" spans="2:15" x14ac:dyDescent="0.4">
      <c r="C111" s="9" t="s">
        <v>74</v>
      </c>
      <c r="D111" s="10">
        <v>5.7000000000000002E-2</v>
      </c>
      <c r="F111" s="21">
        <v>2</v>
      </c>
      <c r="G111" s="81">
        <v>23</v>
      </c>
      <c r="H111" s="80">
        <v>32</v>
      </c>
      <c r="I111" s="80">
        <v>43</v>
      </c>
      <c r="J111" s="80">
        <v>54</v>
      </c>
      <c r="K111" s="80">
        <v>79</v>
      </c>
      <c r="L111" s="80">
        <v>48</v>
      </c>
      <c r="M111" s="83">
        <v>11</v>
      </c>
      <c r="N111" s="81">
        <v>1</v>
      </c>
      <c r="O111" s="80">
        <f>SUM(G111:N111)</f>
        <v>291</v>
      </c>
    </row>
    <row r="112" spans="2:15" x14ac:dyDescent="0.4">
      <c r="C112" s="9" t="s">
        <v>152</v>
      </c>
      <c r="D112" s="10">
        <v>0.06</v>
      </c>
      <c r="F112" s="19" t="s">
        <v>151</v>
      </c>
      <c r="G112" s="79">
        <v>10</v>
      </c>
      <c r="H112" s="78">
        <v>16</v>
      </c>
      <c r="I112" s="78">
        <v>20</v>
      </c>
      <c r="J112" s="78">
        <v>24</v>
      </c>
      <c r="K112" s="78">
        <v>99</v>
      </c>
      <c r="L112" s="78">
        <v>106</v>
      </c>
      <c r="M112" s="82">
        <v>31</v>
      </c>
      <c r="N112" s="81">
        <v>3</v>
      </c>
      <c r="O112" s="80">
        <f>SUM(G112:N112)</f>
        <v>309</v>
      </c>
    </row>
    <row r="113" spans="2:15" x14ac:dyDescent="0.4">
      <c r="F113" s="13" t="s">
        <v>23</v>
      </c>
      <c r="G113" s="79">
        <f t="shared" ref="G113:O113" si="7">SUM(G110:G112)</f>
        <v>340</v>
      </c>
      <c r="H113" s="79">
        <f t="shared" si="7"/>
        <v>550</v>
      </c>
      <c r="I113" s="79">
        <f t="shared" si="7"/>
        <v>688</v>
      </c>
      <c r="J113" s="79">
        <f t="shared" si="7"/>
        <v>748</v>
      </c>
      <c r="K113" s="79">
        <f t="shared" si="7"/>
        <v>1312</v>
      </c>
      <c r="L113" s="79">
        <f t="shared" si="7"/>
        <v>1160</v>
      </c>
      <c r="M113" s="79">
        <f t="shared" si="7"/>
        <v>303</v>
      </c>
      <c r="N113" s="79">
        <f t="shared" si="7"/>
        <v>10</v>
      </c>
      <c r="O113" s="79">
        <f t="shared" si="7"/>
        <v>5111</v>
      </c>
    </row>
    <row r="115" spans="2:15" x14ac:dyDescent="0.4">
      <c r="G115" s="47" t="s">
        <v>31</v>
      </c>
      <c r="H115" s="47" t="s">
        <v>30</v>
      </c>
      <c r="I115" s="47" t="s">
        <v>29</v>
      </c>
      <c r="J115" s="47" t="s">
        <v>28</v>
      </c>
      <c r="K115" s="47" t="s">
        <v>27</v>
      </c>
      <c r="L115" s="47" t="s">
        <v>26</v>
      </c>
      <c r="M115" s="47" t="s">
        <v>25</v>
      </c>
      <c r="N115" s="47" t="s">
        <v>63</v>
      </c>
    </row>
    <row r="116" spans="2:15" x14ac:dyDescent="0.4">
      <c r="G116" s="46">
        <v>0.90300000000000002</v>
      </c>
      <c r="H116" s="46">
        <v>0.91300000000000003</v>
      </c>
      <c r="I116" s="46">
        <v>0.90800000000000003</v>
      </c>
      <c r="J116" s="46">
        <v>0.89600000000000002</v>
      </c>
      <c r="K116" s="46">
        <v>0.86399999999999999</v>
      </c>
      <c r="L116" s="46">
        <v>0.86699999999999999</v>
      </c>
      <c r="M116" s="46">
        <v>0.86099999999999999</v>
      </c>
      <c r="N116" s="46">
        <v>0.6</v>
      </c>
    </row>
    <row r="117" spans="2:15" ht="14.25" customHeight="1" x14ac:dyDescent="0.4">
      <c r="O117" s="26"/>
    </row>
    <row r="118" spans="2:15" ht="14.25" customHeight="1" x14ac:dyDescent="0.4">
      <c r="O118" s="26"/>
    </row>
    <row r="119" spans="2:15" ht="14.25" customHeight="1" x14ac:dyDescent="0.4">
      <c r="O119" s="26"/>
    </row>
    <row r="120" spans="2:15" ht="14.25" customHeight="1" x14ac:dyDescent="0.4">
      <c r="B120" s="9" t="s">
        <v>60</v>
      </c>
      <c r="O120" s="26"/>
    </row>
    <row r="121" spans="2:15" ht="14.25" customHeight="1" x14ac:dyDescent="0.4">
      <c r="O121" s="26" t="s">
        <v>59</v>
      </c>
    </row>
    <row r="122" spans="2:15" ht="14.25" customHeight="1" x14ac:dyDescent="0.4">
      <c r="F122" s="25"/>
      <c r="G122" s="23" t="s">
        <v>31</v>
      </c>
      <c r="H122" s="22" t="s">
        <v>30</v>
      </c>
      <c r="I122" s="22" t="s">
        <v>29</v>
      </c>
      <c r="J122" s="22" t="s">
        <v>28</v>
      </c>
      <c r="K122" s="22" t="s">
        <v>27</v>
      </c>
      <c r="L122" s="22" t="s">
        <v>26</v>
      </c>
      <c r="M122" s="24" t="s">
        <v>25</v>
      </c>
      <c r="N122" s="23" t="s">
        <v>24</v>
      </c>
      <c r="O122" s="22" t="s">
        <v>23</v>
      </c>
    </row>
    <row r="123" spans="2:15" x14ac:dyDescent="0.4">
      <c r="F123" s="45" t="s">
        <v>58</v>
      </c>
      <c r="G123" s="81">
        <v>336</v>
      </c>
      <c r="H123" s="80">
        <v>534</v>
      </c>
      <c r="I123" s="80">
        <v>653</v>
      </c>
      <c r="J123" s="80">
        <v>721</v>
      </c>
      <c r="K123" s="80">
        <v>1227</v>
      </c>
      <c r="L123" s="80">
        <v>1082</v>
      </c>
      <c r="M123" s="83">
        <v>277</v>
      </c>
      <c r="N123" s="81">
        <v>10</v>
      </c>
      <c r="O123" s="80">
        <f>SUM(G123:N123)</f>
        <v>4840</v>
      </c>
    </row>
    <row r="124" spans="2:15" x14ac:dyDescent="0.4">
      <c r="F124" s="21" t="s">
        <v>151</v>
      </c>
      <c r="G124" s="81">
        <v>4</v>
      </c>
      <c r="H124" s="80">
        <v>16</v>
      </c>
      <c r="I124" s="80">
        <v>35</v>
      </c>
      <c r="J124" s="80">
        <v>27</v>
      </c>
      <c r="K124" s="80">
        <v>85</v>
      </c>
      <c r="L124" s="80">
        <v>78</v>
      </c>
      <c r="M124" s="83">
        <v>26</v>
      </c>
      <c r="N124" s="81">
        <v>0</v>
      </c>
      <c r="O124" s="80">
        <f>SUM(G124:N124)</f>
        <v>271</v>
      </c>
    </row>
    <row r="125" spans="2:15" x14ac:dyDescent="0.4">
      <c r="F125" s="13" t="s">
        <v>23</v>
      </c>
      <c r="G125" s="79">
        <f t="shared" ref="G125:N125" si="8">SUM(G123:G124)</f>
        <v>340</v>
      </c>
      <c r="H125" s="79">
        <f t="shared" si="8"/>
        <v>550</v>
      </c>
      <c r="I125" s="79">
        <f t="shared" si="8"/>
        <v>688</v>
      </c>
      <c r="J125" s="79">
        <f t="shared" si="8"/>
        <v>748</v>
      </c>
      <c r="K125" s="79">
        <f t="shared" si="8"/>
        <v>1312</v>
      </c>
      <c r="L125" s="79">
        <f t="shared" si="8"/>
        <v>1160</v>
      </c>
      <c r="M125" s="79">
        <f t="shared" si="8"/>
        <v>303</v>
      </c>
      <c r="N125" s="79">
        <f t="shared" si="8"/>
        <v>10</v>
      </c>
      <c r="O125" s="78">
        <f>SUM(G125:N125)</f>
        <v>5111</v>
      </c>
    </row>
    <row r="126" spans="2:15" x14ac:dyDescent="0.4">
      <c r="F126" s="45" t="s">
        <v>57</v>
      </c>
      <c r="G126" s="81">
        <v>10</v>
      </c>
      <c r="H126" s="80">
        <v>0</v>
      </c>
      <c r="I126" s="80">
        <v>6</v>
      </c>
      <c r="J126" s="80">
        <v>0</v>
      </c>
      <c r="K126" s="80">
        <v>0</v>
      </c>
      <c r="L126" s="80">
        <v>0</v>
      </c>
      <c r="M126" s="83">
        <v>0</v>
      </c>
      <c r="N126" s="81">
        <v>0</v>
      </c>
      <c r="O126" s="30"/>
    </row>
    <row r="127" spans="2:15" x14ac:dyDescent="0.4">
      <c r="F127" s="43" t="s">
        <v>56</v>
      </c>
      <c r="G127" s="79">
        <v>32</v>
      </c>
      <c r="H127" s="78">
        <v>32</v>
      </c>
      <c r="I127" s="78">
        <v>30</v>
      </c>
      <c r="J127" s="78">
        <v>31</v>
      </c>
      <c r="K127" s="78">
        <v>30</v>
      </c>
      <c r="L127" s="78">
        <v>30</v>
      </c>
      <c r="M127" s="82">
        <v>28</v>
      </c>
      <c r="N127" s="81">
        <v>20</v>
      </c>
      <c r="O127" s="84"/>
    </row>
    <row r="128" spans="2:15" x14ac:dyDescent="0.4">
      <c r="F128" s="42" t="s">
        <v>55</v>
      </c>
      <c r="G128" s="88">
        <v>27.55</v>
      </c>
      <c r="H128" s="87">
        <v>27.13</v>
      </c>
      <c r="I128" s="87">
        <v>26.11</v>
      </c>
      <c r="J128" s="87">
        <v>22.96</v>
      </c>
      <c r="K128" s="87">
        <v>18.27</v>
      </c>
      <c r="L128" s="87">
        <v>14.8</v>
      </c>
      <c r="M128" s="86">
        <v>9.9600000000000009</v>
      </c>
      <c r="N128" s="85">
        <v>6.7</v>
      </c>
      <c r="O128" s="84"/>
    </row>
    <row r="129" spans="2:15" x14ac:dyDescent="0.4">
      <c r="B129" s="9" t="s">
        <v>54</v>
      </c>
    </row>
    <row r="130" spans="2:15" x14ac:dyDescent="0.4">
      <c r="B130" s="9" t="s">
        <v>133</v>
      </c>
    </row>
    <row r="131" spans="2:15" x14ac:dyDescent="0.4">
      <c r="B131" s="9" t="s">
        <v>132</v>
      </c>
      <c r="F131" s="9" t="s">
        <v>51</v>
      </c>
      <c r="I131" s="9" t="s">
        <v>50</v>
      </c>
    </row>
    <row r="132" spans="2:15" x14ac:dyDescent="0.4">
      <c r="F132" s="9" t="s">
        <v>48</v>
      </c>
      <c r="G132" s="34">
        <v>907</v>
      </c>
      <c r="I132" s="9" t="s">
        <v>48</v>
      </c>
      <c r="J132" s="34">
        <v>651</v>
      </c>
    </row>
    <row r="133" spans="2:15" x14ac:dyDescent="0.4">
      <c r="F133" s="9" t="s">
        <v>46</v>
      </c>
      <c r="G133" s="34">
        <v>18734</v>
      </c>
      <c r="I133" s="9" t="s">
        <v>46</v>
      </c>
      <c r="J133" s="34">
        <v>8373</v>
      </c>
    </row>
    <row r="134" spans="2:15" x14ac:dyDescent="0.4">
      <c r="F134" s="9" t="s">
        <v>45</v>
      </c>
      <c r="G134" s="34">
        <v>20.65</v>
      </c>
      <c r="I134" s="9" t="s">
        <v>45</v>
      </c>
      <c r="J134" s="34">
        <v>12.86</v>
      </c>
    </row>
    <row r="135" spans="2:15" x14ac:dyDescent="0.4">
      <c r="F135" s="9" t="s">
        <v>44</v>
      </c>
      <c r="G135" s="34">
        <v>443</v>
      </c>
      <c r="I135" s="9" t="s">
        <v>44</v>
      </c>
      <c r="J135" s="34">
        <v>225</v>
      </c>
    </row>
    <row r="136" spans="2:15" x14ac:dyDescent="0.4">
      <c r="F136" s="9" t="s">
        <v>43</v>
      </c>
      <c r="G136" s="10">
        <v>0.48799999999999999</v>
      </c>
      <c r="I136" s="9" t="s">
        <v>43</v>
      </c>
      <c r="J136" s="10">
        <v>0.34599999999999997</v>
      </c>
    </row>
    <row r="137" spans="2:15" x14ac:dyDescent="0.4">
      <c r="G137" s="33"/>
      <c r="J137" s="33"/>
    </row>
    <row r="138" spans="2:15" x14ac:dyDescent="0.4">
      <c r="G138" s="33"/>
      <c r="J138" s="33"/>
    </row>
    <row r="139" spans="2:15" x14ac:dyDescent="0.4">
      <c r="G139" s="33"/>
      <c r="J139" s="33"/>
    </row>
    <row r="140" spans="2:15" x14ac:dyDescent="0.4">
      <c r="O140" s="26"/>
    </row>
    <row r="141" spans="2:15" x14ac:dyDescent="0.4">
      <c r="B141" s="9" t="s">
        <v>42</v>
      </c>
      <c r="G141" s="74"/>
      <c r="O141" s="26"/>
    </row>
    <row r="142" spans="2:15" x14ac:dyDescent="0.4">
      <c r="O142" s="26" t="s">
        <v>32</v>
      </c>
    </row>
    <row r="143" spans="2:15" x14ac:dyDescent="0.4">
      <c r="F143" s="25"/>
      <c r="G143" s="23" t="s">
        <v>31</v>
      </c>
      <c r="H143" s="22" t="s">
        <v>30</v>
      </c>
      <c r="I143" s="22" t="s">
        <v>29</v>
      </c>
      <c r="J143" s="22" t="s">
        <v>28</v>
      </c>
      <c r="K143" s="22" t="s">
        <v>27</v>
      </c>
      <c r="L143" s="22" t="s">
        <v>26</v>
      </c>
      <c r="M143" s="24" t="s">
        <v>25</v>
      </c>
      <c r="N143" s="23" t="s">
        <v>24</v>
      </c>
      <c r="O143" s="22" t="s">
        <v>23</v>
      </c>
    </row>
    <row r="144" spans="2:15" x14ac:dyDescent="0.4">
      <c r="C144" s="9" t="s">
        <v>38</v>
      </c>
      <c r="F144" s="21">
        <v>1</v>
      </c>
      <c r="G144" s="81">
        <v>75</v>
      </c>
      <c r="H144" s="80">
        <v>144</v>
      </c>
      <c r="I144" s="80">
        <v>184</v>
      </c>
      <c r="J144" s="80">
        <v>166</v>
      </c>
      <c r="K144" s="80">
        <v>215</v>
      </c>
      <c r="L144" s="80">
        <v>81</v>
      </c>
      <c r="M144" s="83">
        <v>10</v>
      </c>
      <c r="N144" s="81">
        <v>0</v>
      </c>
      <c r="O144" s="80">
        <f>SUM(G144:N144)</f>
        <v>875</v>
      </c>
    </row>
    <row r="145" spans="3:16" x14ac:dyDescent="0.4">
      <c r="C145" s="9" t="s">
        <v>41</v>
      </c>
      <c r="F145" s="21">
        <v>2</v>
      </c>
      <c r="G145" s="81">
        <v>43</v>
      </c>
      <c r="H145" s="80">
        <v>143</v>
      </c>
      <c r="I145" s="80">
        <v>183</v>
      </c>
      <c r="J145" s="80">
        <v>203</v>
      </c>
      <c r="K145" s="80">
        <v>364</v>
      </c>
      <c r="L145" s="80">
        <v>304</v>
      </c>
      <c r="M145" s="83">
        <v>75</v>
      </c>
      <c r="N145" s="81">
        <v>4</v>
      </c>
      <c r="O145" s="80">
        <f>SUM(G145:N145)</f>
        <v>1319</v>
      </c>
    </row>
    <row r="146" spans="3:16" x14ac:dyDescent="0.4">
      <c r="C146" s="9" t="s">
        <v>40</v>
      </c>
      <c r="F146" s="21">
        <v>3</v>
      </c>
      <c r="G146" s="81">
        <v>220</v>
      </c>
      <c r="H146" s="80">
        <v>260</v>
      </c>
      <c r="I146" s="80">
        <v>312</v>
      </c>
      <c r="J146" s="80">
        <v>369</v>
      </c>
      <c r="K146" s="80">
        <v>707</v>
      </c>
      <c r="L146" s="80">
        <v>748</v>
      </c>
      <c r="M146" s="83">
        <v>200</v>
      </c>
      <c r="N146" s="81">
        <v>6</v>
      </c>
      <c r="O146" s="80">
        <f>SUM(G146:N146)</f>
        <v>2822</v>
      </c>
    </row>
    <row r="147" spans="3:16" x14ac:dyDescent="0.4">
      <c r="F147" s="19" t="s">
        <v>151</v>
      </c>
      <c r="G147" s="79">
        <v>2</v>
      </c>
      <c r="H147" s="78">
        <v>3</v>
      </c>
      <c r="I147" s="78">
        <v>9</v>
      </c>
      <c r="J147" s="78">
        <v>10</v>
      </c>
      <c r="K147" s="78">
        <v>26</v>
      </c>
      <c r="L147" s="78">
        <v>27</v>
      </c>
      <c r="M147" s="82">
        <v>18</v>
      </c>
      <c r="N147" s="81">
        <v>0</v>
      </c>
      <c r="O147" s="80">
        <f>SUM(G147:N147)</f>
        <v>95</v>
      </c>
    </row>
    <row r="148" spans="3:16" x14ac:dyDescent="0.4">
      <c r="F148" s="13" t="s">
        <v>23</v>
      </c>
      <c r="G148" s="79">
        <f t="shared" ref="G148:N148" si="9">SUM(G144:G147)</f>
        <v>340</v>
      </c>
      <c r="H148" s="79">
        <f t="shared" si="9"/>
        <v>550</v>
      </c>
      <c r="I148" s="79">
        <f t="shared" si="9"/>
        <v>688</v>
      </c>
      <c r="J148" s="79">
        <f t="shared" si="9"/>
        <v>748</v>
      </c>
      <c r="K148" s="79">
        <f t="shared" si="9"/>
        <v>1312</v>
      </c>
      <c r="L148" s="79">
        <f t="shared" si="9"/>
        <v>1160</v>
      </c>
      <c r="M148" s="79">
        <f t="shared" si="9"/>
        <v>303</v>
      </c>
      <c r="N148" s="79">
        <f t="shared" si="9"/>
        <v>10</v>
      </c>
      <c r="O148" s="78">
        <f>SUM(G148:N148)</f>
        <v>5111</v>
      </c>
    </row>
    <row r="149" spans="3:16" x14ac:dyDescent="0.4">
      <c r="C149" s="9" t="s">
        <v>22</v>
      </c>
      <c r="F149" s="32" t="s">
        <v>39</v>
      </c>
      <c r="G149" s="31">
        <v>0.221</v>
      </c>
      <c r="H149" s="76">
        <v>0.26200000000000001</v>
      </c>
      <c r="I149" s="31">
        <v>0.26700000000000002</v>
      </c>
      <c r="J149" s="31">
        <v>0.222</v>
      </c>
      <c r="K149" s="76">
        <v>0.16400000000000001</v>
      </c>
      <c r="L149" s="76">
        <v>7.0000000000000007E-2</v>
      </c>
      <c r="M149" s="76">
        <v>3.3000000000000002E-2</v>
      </c>
      <c r="N149" s="76">
        <v>0</v>
      </c>
      <c r="O149" s="30"/>
      <c r="P149" s="27"/>
    </row>
    <row r="150" spans="3:16" x14ac:dyDescent="0.4">
      <c r="C150" s="9" t="s">
        <v>38</v>
      </c>
      <c r="D150" s="10">
        <v>0.17100000000000001</v>
      </c>
      <c r="I150" s="29"/>
    </row>
    <row r="151" spans="3:16" x14ac:dyDescent="0.4">
      <c r="C151" s="28" t="s">
        <v>37</v>
      </c>
      <c r="D151" s="10">
        <v>0.25800000000000001</v>
      </c>
    </row>
    <row r="152" spans="3:16" x14ac:dyDescent="0.4">
      <c r="C152" s="9" t="s">
        <v>36</v>
      </c>
      <c r="D152" s="10">
        <v>0.55200000000000005</v>
      </c>
      <c r="J152" s="27"/>
    </row>
    <row r="153" spans="3:16" x14ac:dyDescent="0.4">
      <c r="C153" s="47" t="s">
        <v>151</v>
      </c>
      <c r="D153" s="10">
        <v>1.9E-2</v>
      </c>
    </row>
  </sheetData>
  <phoneticPr fontId="9"/>
  <pageMargins left="0.11811023622047245" right="0.11811023622047245" top="0.59055118110236227" bottom="0.55118110236220474" header="0.31496062992125984" footer="0.31496062992125984"/>
  <pageSetup paperSize="9" scale="68" fitToHeight="0" orientation="portrait" r:id="rId1"/>
  <rowBreaks count="2" manualBreakCount="2">
    <brk id="60" max="14" man="1"/>
    <brk id="119"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148"/>
  <sheetViews>
    <sheetView topLeftCell="B68" zoomScaleNormal="100" workbookViewId="0">
      <selection activeCell="M125" sqref="M125"/>
    </sheetView>
  </sheetViews>
  <sheetFormatPr defaultRowHeight="18.75" x14ac:dyDescent="0.4"/>
  <cols>
    <col min="1" max="5" width="9" style="9"/>
    <col min="6" max="6" width="9.875" style="9" customWidth="1"/>
    <col min="7" max="16384" width="9" style="9"/>
  </cols>
  <sheetData>
    <row r="1" spans="1:15" ht="26.25" customHeight="1" x14ac:dyDescent="0.4">
      <c r="B1" s="73" t="s">
        <v>150</v>
      </c>
    </row>
    <row r="2" spans="1:15" ht="21.75" customHeight="1" x14ac:dyDescent="0.4">
      <c r="B2" s="72"/>
    </row>
    <row r="3" spans="1:15" ht="18" customHeight="1" x14ac:dyDescent="0.4">
      <c r="B3" s="70" t="s">
        <v>111</v>
      </c>
    </row>
    <row r="4" spans="1:15" ht="15" customHeight="1" x14ac:dyDescent="0.4">
      <c r="B4" s="34" t="s">
        <v>149</v>
      </c>
    </row>
    <row r="5" spans="1:15" ht="15" customHeight="1" x14ac:dyDescent="0.4">
      <c r="B5" s="34" t="s">
        <v>148</v>
      </c>
    </row>
    <row r="6" spans="1:15" ht="15" customHeight="1" x14ac:dyDescent="0.4">
      <c r="A6" s="9" t="s">
        <v>108</v>
      </c>
      <c r="B6" s="34" t="s">
        <v>147</v>
      </c>
    </row>
    <row r="7" spans="1:15" ht="13.5" customHeight="1" x14ac:dyDescent="0.4">
      <c r="B7" s="34"/>
      <c r="G7" s="27"/>
    </row>
    <row r="8" spans="1:15" ht="13.5" customHeight="1" x14ac:dyDescent="0.4">
      <c r="B8" s="34"/>
    </row>
    <row r="9" spans="1:15" ht="18" customHeight="1" x14ac:dyDescent="0.4">
      <c r="B9" s="70" t="s">
        <v>106</v>
      </c>
    </row>
    <row r="10" spans="1:15" x14ac:dyDescent="0.4">
      <c r="B10" s="34"/>
    </row>
    <row r="11" spans="1:15" x14ac:dyDescent="0.4">
      <c r="B11" s="9" t="s">
        <v>105</v>
      </c>
    </row>
    <row r="13" spans="1:15" x14ac:dyDescent="0.4">
      <c r="F13" s="69"/>
      <c r="O13" s="26" t="s">
        <v>32</v>
      </c>
    </row>
    <row r="14" spans="1:15" x14ac:dyDescent="0.4">
      <c r="B14" s="47" t="s">
        <v>104</v>
      </c>
      <c r="C14" s="68" t="s">
        <v>146</v>
      </c>
      <c r="D14" s="67">
        <f>O15/$O$17</f>
        <v>0.42923336141533275</v>
      </c>
      <c r="E14" s="66"/>
      <c r="F14" s="25"/>
      <c r="G14" s="23" t="s">
        <v>31</v>
      </c>
      <c r="H14" s="22" t="s">
        <v>30</v>
      </c>
      <c r="I14" s="22" t="s">
        <v>29</v>
      </c>
      <c r="J14" s="22" t="s">
        <v>28</v>
      </c>
      <c r="K14" s="22" t="s">
        <v>27</v>
      </c>
      <c r="L14" s="22" t="s">
        <v>26</v>
      </c>
      <c r="M14" s="24" t="s">
        <v>25</v>
      </c>
      <c r="N14" s="23" t="s">
        <v>24</v>
      </c>
      <c r="O14" s="22" t="s">
        <v>23</v>
      </c>
    </row>
    <row r="15" spans="1:15" x14ac:dyDescent="0.4">
      <c r="B15" s="47" t="s">
        <v>102</v>
      </c>
      <c r="C15" s="59" t="s">
        <v>145</v>
      </c>
      <c r="D15" s="67">
        <f>O16/$O$17</f>
        <v>0.57076663858466725</v>
      </c>
      <c r="E15" s="66"/>
      <c r="F15" s="21" t="s">
        <v>100</v>
      </c>
      <c r="G15" s="15">
        <v>205</v>
      </c>
      <c r="H15" s="14">
        <v>238</v>
      </c>
      <c r="I15" s="14">
        <v>339</v>
      </c>
      <c r="J15" s="14">
        <v>275</v>
      </c>
      <c r="K15" s="14">
        <v>420</v>
      </c>
      <c r="L15" s="14">
        <v>397</v>
      </c>
      <c r="M15" s="20">
        <v>155</v>
      </c>
      <c r="N15" s="15">
        <v>9</v>
      </c>
      <c r="O15" s="14">
        <v>2038</v>
      </c>
    </row>
    <row r="16" spans="1:15" x14ac:dyDescent="0.4">
      <c r="B16" s="47" t="s">
        <v>99</v>
      </c>
      <c r="C16" s="59" t="s">
        <v>144</v>
      </c>
      <c r="D16" s="58"/>
      <c r="E16" s="65"/>
      <c r="F16" s="21" t="s">
        <v>97</v>
      </c>
      <c r="G16" s="15">
        <v>174</v>
      </c>
      <c r="H16" s="14">
        <v>312</v>
      </c>
      <c r="I16" s="14">
        <v>384</v>
      </c>
      <c r="J16" s="14">
        <v>349</v>
      </c>
      <c r="K16" s="14">
        <v>640</v>
      </c>
      <c r="L16" s="14">
        <v>651</v>
      </c>
      <c r="M16" s="20">
        <v>190</v>
      </c>
      <c r="N16" s="15">
        <v>10</v>
      </c>
      <c r="O16" s="14">
        <v>2710</v>
      </c>
    </row>
    <row r="17" spans="2:15" x14ac:dyDescent="0.4">
      <c r="C17" s="58"/>
      <c r="D17" s="58"/>
      <c r="E17" s="27"/>
      <c r="F17" s="23" t="s">
        <v>23</v>
      </c>
      <c r="G17" s="17">
        <v>379</v>
      </c>
      <c r="H17" s="17">
        <v>550</v>
      </c>
      <c r="I17" s="17">
        <v>723</v>
      </c>
      <c r="J17" s="17">
        <v>624</v>
      </c>
      <c r="K17" s="17">
        <v>1060</v>
      </c>
      <c r="L17" s="17">
        <v>1048</v>
      </c>
      <c r="M17" s="16">
        <v>345</v>
      </c>
      <c r="N17" s="15">
        <v>19</v>
      </c>
      <c r="O17" s="17">
        <v>4748</v>
      </c>
    </row>
    <row r="18" spans="2:15" x14ac:dyDescent="0.4">
      <c r="B18" s="47" t="s">
        <v>96</v>
      </c>
      <c r="C18" s="59" t="s">
        <v>95</v>
      </c>
      <c r="D18" s="58"/>
      <c r="F18" s="64" t="s">
        <v>94</v>
      </c>
      <c r="G18" s="31">
        <v>7.9823083403538331E-2</v>
      </c>
      <c r="H18" s="31">
        <v>0.11583824768323504</v>
      </c>
      <c r="I18" s="31">
        <v>0.15227464195450716</v>
      </c>
      <c r="J18" s="76">
        <v>0.13142375737152484</v>
      </c>
      <c r="K18" s="31">
        <v>0.22325189553496208</v>
      </c>
      <c r="L18" s="76">
        <v>0.22072451558550968</v>
      </c>
      <c r="M18" s="76">
        <v>7.2662173546756526E-2</v>
      </c>
      <c r="N18" s="76">
        <v>4.0016849199663012E-3</v>
      </c>
      <c r="O18" s="63"/>
    </row>
    <row r="19" spans="2:15" x14ac:dyDescent="0.4">
      <c r="B19" s="47" t="s">
        <v>93</v>
      </c>
      <c r="C19" s="59" t="s">
        <v>143</v>
      </c>
      <c r="D19" s="58"/>
      <c r="G19" s="62"/>
      <c r="H19" s="61"/>
      <c r="I19" s="61"/>
      <c r="J19" s="61"/>
      <c r="K19" s="61"/>
      <c r="L19" s="61"/>
      <c r="M19" s="61"/>
      <c r="N19" s="29"/>
    </row>
    <row r="20" spans="2:15" x14ac:dyDescent="0.4">
      <c r="B20" s="60" t="s">
        <v>91</v>
      </c>
      <c r="C20" s="59" t="s">
        <v>142</v>
      </c>
      <c r="D20" s="58"/>
      <c r="N20" s="27"/>
    </row>
    <row r="21" spans="2:15" x14ac:dyDescent="0.4">
      <c r="M21" s="27"/>
    </row>
    <row r="23" spans="2:15" x14ac:dyDescent="0.4">
      <c r="B23" s="9" t="s">
        <v>89</v>
      </c>
      <c r="O23" s="26"/>
    </row>
    <row r="24" spans="2:15" x14ac:dyDescent="0.4">
      <c r="O24" s="26" t="s">
        <v>32</v>
      </c>
    </row>
    <row r="25" spans="2:15" x14ac:dyDescent="0.4">
      <c r="C25" s="9" t="s">
        <v>88</v>
      </c>
      <c r="F25" s="25"/>
      <c r="G25" s="23" t="s">
        <v>31</v>
      </c>
      <c r="H25" s="22" t="s">
        <v>30</v>
      </c>
      <c r="I25" s="22" t="s">
        <v>29</v>
      </c>
      <c r="J25" s="22" t="s">
        <v>28</v>
      </c>
      <c r="K25" s="22" t="s">
        <v>27</v>
      </c>
      <c r="L25" s="22" t="s">
        <v>26</v>
      </c>
      <c r="M25" s="24" t="s">
        <v>25</v>
      </c>
      <c r="N25" s="23" t="s">
        <v>24</v>
      </c>
      <c r="O25" s="22" t="s">
        <v>23</v>
      </c>
    </row>
    <row r="26" spans="2:15" x14ac:dyDescent="0.4">
      <c r="C26" s="9" t="s">
        <v>87</v>
      </c>
      <c r="F26" s="21">
        <v>1</v>
      </c>
      <c r="G26" s="15">
        <v>36</v>
      </c>
      <c r="H26" s="14">
        <v>76</v>
      </c>
      <c r="I26" s="14">
        <v>135</v>
      </c>
      <c r="J26" s="14">
        <v>155</v>
      </c>
      <c r="K26" s="14">
        <v>308</v>
      </c>
      <c r="L26" s="14">
        <v>342</v>
      </c>
      <c r="M26" s="20">
        <v>118</v>
      </c>
      <c r="N26" s="15">
        <v>2</v>
      </c>
      <c r="O26" s="14">
        <v>1172</v>
      </c>
    </row>
    <row r="27" spans="2:15" x14ac:dyDescent="0.4">
      <c r="C27" s="9" t="s">
        <v>86</v>
      </c>
      <c r="F27" s="21">
        <v>2</v>
      </c>
      <c r="G27" s="15">
        <v>46</v>
      </c>
      <c r="H27" s="14">
        <v>124</v>
      </c>
      <c r="I27" s="14">
        <v>146</v>
      </c>
      <c r="J27" s="14">
        <v>131</v>
      </c>
      <c r="K27" s="14">
        <v>169</v>
      </c>
      <c r="L27" s="14">
        <v>159</v>
      </c>
      <c r="M27" s="20">
        <v>35</v>
      </c>
      <c r="N27" s="15">
        <v>4</v>
      </c>
      <c r="O27" s="14">
        <v>814</v>
      </c>
    </row>
    <row r="28" spans="2:15" x14ac:dyDescent="0.4">
      <c r="C28" s="9" t="s">
        <v>85</v>
      </c>
      <c r="F28" s="21">
        <v>3</v>
      </c>
      <c r="G28" s="15">
        <v>83</v>
      </c>
      <c r="H28" s="14">
        <v>115</v>
      </c>
      <c r="I28" s="14">
        <v>147</v>
      </c>
      <c r="J28" s="14">
        <v>119</v>
      </c>
      <c r="K28" s="14">
        <v>149</v>
      </c>
      <c r="L28" s="14">
        <v>115</v>
      </c>
      <c r="M28" s="20">
        <v>24</v>
      </c>
      <c r="N28" s="15">
        <v>2</v>
      </c>
      <c r="O28" s="14">
        <v>754</v>
      </c>
    </row>
    <row r="29" spans="2:15" x14ac:dyDescent="0.4">
      <c r="F29" s="19">
        <v>4</v>
      </c>
      <c r="G29" s="12">
        <v>214</v>
      </c>
      <c r="H29" s="17">
        <v>235</v>
      </c>
      <c r="I29" s="17">
        <v>294</v>
      </c>
      <c r="J29" s="17">
        <v>217</v>
      </c>
      <c r="K29" s="17">
        <v>417</v>
      </c>
      <c r="L29" s="17">
        <v>399</v>
      </c>
      <c r="M29" s="16">
        <v>155</v>
      </c>
      <c r="N29" s="15">
        <v>9</v>
      </c>
      <c r="O29" s="14">
        <v>1940</v>
      </c>
    </row>
    <row r="30" spans="2:15" x14ac:dyDescent="0.4">
      <c r="F30" s="18" t="s">
        <v>18</v>
      </c>
      <c r="G30" s="12">
        <v>0</v>
      </c>
      <c r="H30" s="17">
        <v>0</v>
      </c>
      <c r="I30" s="17">
        <v>1</v>
      </c>
      <c r="J30" s="17">
        <v>2</v>
      </c>
      <c r="K30" s="17">
        <v>17</v>
      </c>
      <c r="L30" s="17">
        <v>33</v>
      </c>
      <c r="M30" s="16">
        <v>13</v>
      </c>
      <c r="N30" s="15">
        <v>2</v>
      </c>
      <c r="O30" s="14">
        <v>68</v>
      </c>
    </row>
    <row r="31" spans="2:15" x14ac:dyDescent="0.4">
      <c r="B31" s="9" t="s">
        <v>54</v>
      </c>
      <c r="F31" s="13" t="s">
        <v>23</v>
      </c>
      <c r="G31" s="12">
        <v>379</v>
      </c>
      <c r="H31" s="12">
        <v>550</v>
      </c>
      <c r="I31" s="12">
        <v>723</v>
      </c>
      <c r="J31" s="12">
        <v>624</v>
      </c>
      <c r="K31" s="12">
        <v>1060</v>
      </c>
      <c r="L31" s="12">
        <v>1048</v>
      </c>
      <c r="M31" s="12">
        <v>345</v>
      </c>
      <c r="N31" s="12">
        <v>19</v>
      </c>
      <c r="O31" s="17">
        <v>4748</v>
      </c>
    </row>
    <row r="32" spans="2:15" x14ac:dyDescent="0.4">
      <c r="B32" s="9" t="s">
        <v>141</v>
      </c>
    </row>
    <row r="33" spans="2:15" x14ac:dyDescent="0.4">
      <c r="B33" s="9" t="s">
        <v>140</v>
      </c>
      <c r="G33" s="47" t="s">
        <v>31</v>
      </c>
      <c r="H33" s="47" t="s">
        <v>30</v>
      </c>
      <c r="I33" s="47" t="s">
        <v>29</v>
      </c>
      <c r="J33" s="47" t="s">
        <v>28</v>
      </c>
      <c r="K33" s="47" t="s">
        <v>27</v>
      </c>
      <c r="L33" s="47" t="s">
        <v>26</v>
      </c>
      <c r="M33" s="47" t="s">
        <v>25</v>
      </c>
      <c r="N33" s="47" t="s">
        <v>63</v>
      </c>
    </row>
    <row r="34" spans="2:15" x14ac:dyDescent="0.4">
      <c r="G34" s="46">
        <f t="shared" ref="G34:N34" si="0">SUM(G26:G28)/G31</f>
        <v>0.43535620052770446</v>
      </c>
      <c r="H34" s="46">
        <f t="shared" si="0"/>
        <v>0.57272727272727275</v>
      </c>
      <c r="I34" s="46">
        <f t="shared" si="0"/>
        <v>0.59197786998616875</v>
      </c>
      <c r="J34" s="46">
        <f t="shared" si="0"/>
        <v>0.64903846153846156</v>
      </c>
      <c r="K34" s="46">
        <f t="shared" si="0"/>
        <v>0.59056603773584904</v>
      </c>
      <c r="L34" s="46">
        <f t="shared" si="0"/>
        <v>0.58778625954198471</v>
      </c>
      <c r="M34" s="46">
        <f t="shared" si="0"/>
        <v>0.5130434782608696</v>
      </c>
      <c r="N34" s="46">
        <f t="shared" si="0"/>
        <v>0.42105263157894735</v>
      </c>
    </row>
    <row r="38" spans="2:15" x14ac:dyDescent="0.4">
      <c r="B38" s="9" t="s">
        <v>80</v>
      </c>
      <c r="O38" s="26"/>
    </row>
    <row r="39" spans="2:15" x14ac:dyDescent="0.4">
      <c r="O39" s="26" t="s">
        <v>32</v>
      </c>
    </row>
    <row r="40" spans="2:15" x14ac:dyDescent="0.4">
      <c r="C40" s="9" t="s">
        <v>22</v>
      </c>
      <c r="D40" s="53"/>
      <c r="F40" s="25"/>
      <c r="G40" s="23" t="s">
        <v>31</v>
      </c>
      <c r="H40" s="22" t="s">
        <v>30</v>
      </c>
      <c r="I40" s="22" t="s">
        <v>29</v>
      </c>
      <c r="J40" s="22" t="s">
        <v>28</v>
      </c>
      <c r="K40" s="22" t="s">
        <v>27</v>
      </c>
      <c r="L40" s="22" t="s">
        <v>26</v>
      </c>
      <c r="M40" s="24" t="s">
        <v>25</v>
      </c>
      <c r="N40" s="23" t="s">
        <v>24</v>
      </c>
      <c r="O40" s="22" t="s">
        <v>23</v>
      </c>
    </row>
    <row r="41" spans="2:15" x14ac:dyDescent="0.4">
      <c r="C41" s="9" t="s">
        <v>75</v>
      </c>
      <c r="D41" s="10">
        <f>O41/$O$44</f>
        <v>0.32518955349620893</v>
      </c>
      <c r="F41" s="21">
        <v>1</v>
      </c>
      <c r="G41" s="15">
        <v>82</v>
      </c>
      <c r="H41" s="14">
        <v>164</v>
      </c>
      <c r="I41" s="14">
        <v>222</v>
      </c>
      <c r="J41" s="14">
        <v>209</v>
      </c>
      <c r="K41" s="14">
        <v>372</v>
      </c>
      <c r="L41" s="14">
        <v>375</v>
      </c>
      <c r="M41" s="20">
        <v>115</v>
      </c>
      <c r="N41" s="15">
        <v>5</v>
      </c>
      <c r="O41" s="14">
        <v>1544</v>
      </c>
    </row>
    <row r="42" spans="2:15" x14ac:dyDescent="0.4">
      <c r="C42" s="9" t="s">
        <v>74</v>
      </c>
      <c r="D42" s="10">
        <f>O42/$O$44</f>
        <v>0.66322662173546754</v>
      </c>
      <c r="F42" s="21">
        <v>2</v>
      </c>
      <c r="G42" s="15">
        <v>297</v>
      </c>
      <c r="H42" s="14">
        <v>381</v>
      </c>
      <c r="I42" s="14">
        <v>498</v>
      </c>
      <c r="J42" s="14">
        <v>413</v>
      </c>
      <c r="K42" s="14">
        <v>673</v>
      </c>
      <c r="L42" s="14">
        <v>652</v>
      </c>
      <c r="M42" s="20">
        <v>223</v>
      </c>
      <c r="N42" s="15">
        <v>12</v>
      </c>
      <c r="O42" s="14">
        <v>3149</v>
      </c>
    </row>
    <row r="43" spans="2:15" x14ac:dyDescent="0.4">
      <c r="C43" s="11" t="s">
        <v>18</v>
      </c>
      <c r="D43" s="10">
        <f>O43/$O$44</f>
        <v>1.1583824768323505E-2</v>
      </c>
      <c r="F43" s="18" t="s">
        <v>18</v>
      </c>
      <c r="G43" s="12">
        <v>0</v>
      </c>
      <c r="H43" s="17">
        <v>5</v>
      </c>
      <c r="I43" s="17">
        <v>3</v>
      </c>
      <c r="J43" s="17">
        <v>2</v>
      </c>
      <c r="K43" s="17">
        <v>15</v>
      </c>
      <c r="L43" s="17">
        <v>21</v>
      </c>
      <c r="M43" s="16">
        <v>7</v>
      </c>
      <c r="N43" s="15">
        <v>2</v>
      </c>
      <c r="O43" s="14">
        <v>55</v>
      </c>
    </row>
    <row r="44" spans="2:15" x14ac:dyDescent="0.4">
      <c r="F44" s="13" t="s">
        <v>23</v>
      </c>
      <c r="G44" s="12">
        <v>379</v>
      </c>
      <c r="H44" s="12">
        <v>550</v>
      </c>
      <c r="I44" s="12">
        <v>723</v>
      </c>
      <c r="J44" s="12">
        <v>624</v>
      </c>
      <c r="K44" s="12">
        <v>1060</v>
      </c>
      <c r="L44" s="12">
        <v>1048</v>
      </c>
      <c r="M44" s="12">
        <v>345</v>
      </c>
      <c r="N44" s="12">
        <v>19</v>
      </c>
      <c r="O44" s="12">
        <v>4748</v>
      </c>
    </row>
    <row r="46" spans="2:15" x14ac:dyDescent="0.4">
      <c r="B46" s="9" t="s">
        <v>54</v>
      </c>
      <c r="G46" s="47" t="s">
        <v>31</v>
      </c>
      <c r="H46" s="47" t="s">
        <v>30</v>
      </c>
      <c r="I46" s="47" t="s">
        <v>29</v>
      </c>
      <c r="J46" s="47" t="s">
        <v>28</v>
      </c>
      <c r="K46" s="47" t="s">
        <v>27</v>
      </c>
      <c r="L46" s="47" t="s">
        <v>26</v>
      </c>
      <c r="M46" s="47" t="s">
        <v>25</v>
      </c>
      <c r="N46" s="47" t="s">
        <v>63</v>
      </c>
    </row>
    <row r="47" spans="2:15" x14ac:dyDescent="0.4">
      <c r="B47" s="9" t="s">
        <v>139</v>
      </c>
      <c r="G47" s="46">
        <f t="shared" ref="G47:N47" si="1">G41/G44</f>
        <v>0.21635883905013192</v>
      </c>
      <c r="H47" s="46">
        <f t="shared" si="1"/>
        <v>0.29818181818181816</v>
      </c>
      <c r="I47" s="46">
        <f t="shared" si="1"/>
        <v>0.30705394190871371</v>
      </c>
      <c r="J47" s="46">
        <f t="shared" si="1"/>
        <v>0.33493589743589741</v>
      </c>
      <c r="K47" s="46">
        <f t="shared" si="1"/>
        <v>0.35094339622641507</v>
      </c>
      <c r="L47" s="46">
        <f t="shared" si="1"/>
        <v>0.35782442748091603</v>
      </c>
      <c r="M47" s="46">
        <f t="shared" si="1"/>
        <v>0.33333333333333331</v>
      </c>
      <c r="N47" s="46">
        <f t="shared" si="1"/>
        <v>0.26315789473684209</v>
      </c>
    </row>
    <row r="51" spans="2:15" x14ac:dyDescent="0.4">
      <c r="B51" s="9" t="s">
        <v>77</v>
      </c>
      <c r="O51" s="26"/>
    </row>
    <row r="52" spans="2:15" x14ac:dyDescent="0.4">
      <c r="O52" s="26" t="s">
        <v>32</v>
      </c>
    </row>
    <row r="53" spans="2:15" x14ac:dyDescent="0.4">
      <c r="B53" s="28"/>
      <c r="C53" s="9" t="s">
        <v>22</v>
      </c>
      <c r="D53" s="53"/>
      <c r="F53" s="25"/>
      <c r="G53" s="23" t="s">
        <v>31</v>
      </c>
      <c r="H53" s="22" t="s">
        <v>30</v>
      </c>
      <c r="I53" s="22" t="s">
        <v>29</v>
      </c>
      <c r="J53" s="22" t="s">
        <v>28</v>
      </c>
      <c r="K53" s="22" t="s">
        <v>27</v>
      </c>
      <c r="L53" s="22" t="s">
        <v>26</v>
      </c>
      <c r="M53" s="24" t="s">
        <v>25</v>
      </c>
      <c r="N53" s="23" t="s">
        <v>24</v>
      </c>
      <c r="O53" s="22" t="s">
        <v>23</v>
      </c>
    </row>
    <row r="54" spans="2:15" x14ac:dyDescent="0.4">
      <c r="C54" s="9" t="s">
        <v>75</v>
      </c>
      <c r="D54" s="10">
        <f>O54/$O$57</f>
        <v>0.16027801179443976</v>
      </c>
      <c r="F54" s="21">
        <v>1</v>
      </c>
      <c r="G54" s="15">
        <v>102</v>
      </c>
      <c r="H54" s="14">
        <v>121</v>
      </c>
      <c r="I54" s="14">
        <v>149</v>
      </c>
      <c r="J54" s="14">
        <v>113</v>
      </c>
      <c r="K54" s="14">
        <v>134</v>
      </c>
      <c r="L54" s="14">
        <v>111</v>
      </c>
      <c r="M54" s="20">
        <v>30</v>
      </c>
      <c r="N54" s="15">
        <v>1</v>
      </c>
      <c r="O54" s="14">
        <v>761</v>
      </c>
    </row>
    <row r="55" spans="2:15" x14ac:dyDescent="0.4">
      <c r="C55" s="9" t="s">
        <v>74</v>
      </c>
      <c r="D55" s="10">
        <f>O55/$O$57</f>
        <v>0.81192080876158379</v>
      </c>
      <c r="F55" s="21">
        <v>2</v>
      </c>
      <c r="G55" s="15">
        <v>275</v>
      </c>
      <c r="H55" s="14">
        <v>428</v>
      </c>
      <c r="I55" s="14">
        <v>572</v>
      </c>
      <c r="J55" s="14">
        <v>508</v>
      </c>
      <c r="K55" s="14">
        <v>898</v>
      </c>
      <c r="L55" s="14">
        <v>872</v>
      </c>
      <c r="M55" s="20">
        <v>286</v>
      </c>
      <c r="N55" s="15">
        <v>16</v>
      </c>
      <c r="O55" s="14">
        <v>3855</v>
      </c>
    </row>
    <row r="56" spans="2:15" x14ac:dyDescent="0.4">
      <c r="C56" s="11" t="s">
        <v>18</v>
      </c>
      <c r="D56" s="10">
        <f>O56/$O$57</f>
        <v>2.780117944397641E-2</v>
      </c>
      <c r="F56" s="18" t="s">
        <v>18</v>
      </c>
      <c r="G56" s="12">
        <v>2</v>
      </c>
      <c r="H56" s="17">
        <v>1</v>
      </c>
      <c r="I56" s="17">
        <v>2</v>
      </c>
      <c r="J56" s="17">
        <v>3</v>
      </c>
      <c r="K56" s="17">
        <v>28</v>
      </c>
      <c r="L56" s="17">
        <v>65</v>
      </c>
      <c r="M56" s="16">
        <v>29</v>
      </c>
      <c r="N56" s="15">
        <v>2</v>
      </c>
      <c r="O56" s="14">
        <v>132</v>
      </c>
    </row>
    <row r="57" spans="2:15" x14ac:dyDescent="0.4">
      <c r="F57" s="13" t="s">
        <v>23</v>
      </c>
      <c r="G57" s="12">
        <v>379</v>
      </c>
      <c r="H57" s="12">
        <v>550</v>
      </c>
      <c r="I57" s="12">
        <v>723</v>
      </c>
      <c r="J57" s="12">
        <v>624</v>
      </c>
      <c r="K57" s="12">
        <v>1060</v>
      </c>
      <c r="L57" s="12">
        <v>1048</v>
      </c>
      <c r="M57" s="12">
        <v>345</v>
      </c>
      <c r="N57" s="12">
        <v>19</v>
      </c>
      <c r="O57" s="12">
        <v>4748</v>
      </c>
    </row>
    <row r="59" spans="2:15" x14ac:dyDescent="0.4">
      <c r="G59" s="47" t="s">
        <v>31</v>
      </c>
      <c r="H59" s="47" t="s">
        <v>30</v>
      </c>
      <c r="I59" s="47" t="s">
        <v>29</v>
      </c>
      <c r="J59" s="47" t="s">
        <v>28</v>
      </c>
      <c r="K59" s="47" t="s">
        <v>27</v>
      </c>
      <c r="L59" s="47" t="s">
        <v>26</v>
      </c>
      <c r="M59" s="47" t="s">
        <v>25</v>
      </c>
      <c r="N59" s="47" t="s">
        <v>63</v>
      </c>
    </row>
    <row r="60" spans="2:15" x14ac:dyDescent="0.4">
      <c r="G60" s="46">
        <f t="shared" ref="G60:N60" si="2">G54/G57</f>
        <v>0.26912928759894461</v>
      </c>
      <c r="H60" s="46">
        <f t="shared" si="2"/>
        <v>0.22</v>
      </c>
      <c r="I60" s="46">
        <f t="shared" si="2"/>
        <v>0.20608575380359612</v>
      </c>
      <c r="J60" s="46">
        <f t="shared" si="2"/>
        <v>0.18108974358974358</v>
      </c>
      <c r="K60" s="46">
        <f t="shared" si="2"/>
        <v>0.12641509433962264</v>
      </c>
      <c r="L60" s="46">
        <f t="shared" si="2"/>
        <v>0.10591603053435114</v>
      </c>
      <c r="M60" s="46">
        <f t="shared" si="2"/>
        <v>8.6956521739130432E-2</v>
      </c>
      <c r="N60" s="46">
        <f t="shared" si="2"/>
        <v>5.2631578947368418E-2</v>
      </c>
    </row>
    <row r="61" spans="2:15" x14ac:dyDescent="0.4">
      <c r="G61" s="75"/>
      <c r="H61" s="75"/>
      <c r="I61" s="75"/>
      <c r="J61" s="75"/>
      <c r="K61" s="75"/>
      <c r="L61" s="75"/>
      <c r="M61" s="75"/>
      <c r="N61" s="75"/>
    </row>
    <row r="63" spans="2:15" x14ac:dyDescent="0.4">
      <c r="B63" s="9" t="s">
        <v>76</v>
      </c>
      <c r="O63" s="26"/>
    </row>
    <row r="64" spans="2:15" x14ac:dyDescent="0.4">
      <c r="O64" s="26" t="s">
        <v>32</v>
      </c>
    </row>
    <row r="65" spans="2:15" x14ac:dyDescent="0.4">
      <c r="B65" s="28"/>
      <c r="C65" s="9" t="s">
        <v>22</v>
      </c>
      <c r="D65" s="53"/>
      <c r="F65" s="25"/>
      <c r="G65" s="23" t="s">
        <v>31</v>
      </c>
      <c r="H65" s="22" t="s">
        <v>30</v>
      </c>
      <c r="I65" s="22" t="s">
        <v>29</v>
      </c>
      <c r="J65" s="22" t="s">
        <v>28</v>
      </c>
      <c r="K65" s="22" t="s">
        <v>27</v>
      </c>
      <c r="L65" s="22" t="s">
        <v>26</v>
      </c>
      <c r="M65" s="24" t="s">
        <v>25</v>
      </c>
      <c r="N65" s="23" t="s">
        <v>24</v>
      </c>
      <c r="O65" s="22" t="s">
        <v>23</v>
      </c>
    </row>
    <row r="66" spans="2:15" x14ac:dyDescent="0.4">
      <c r="C66" s="9" t="s">
        <v>75</v>
      </c>
      <c r="D66" s="10">
        <f>O66/$O$69</f>
        <v>6.1288963774220724E-2</v>
      </c>
      <c r="F66" s="21">
        <v>1</v>
      </c>
      <c r="G66" s="15">
        <v>16</v>
      </c>
      <c r="H66" s="14">
        <v>24</v>
      </c>
      <c r="I66" s="14">
        <v>60</v>
      </c>
      <c r="J66" s="14">
        <v>51</v>
      </c>
      <c r="K66" s="14">
        <v>74</v>
      </c>
      <c r="L66" s="14">
        <v>48</v>
      </c>
      <c r="M66" s="20">
        <v>17</v>
      </c>
      <c r="N66" s="15">
        <v>1</v>
      </c>
      <c r="O66" s="14">
        <v>291</v>
      </c>
    </row>
    <row r="67" spans="2:15" x14ac:dyDescent="0.4">
      <c r="C67" s="9" t="s">
        <v>74</v>
      </c>
      <c r="D67" s="10">
        <f>O67/$O$69</f>
        <v>0.88163437236731257</v>
      </c>
      <c r="F67" s="21">
        <v>2</v>
      </c>
      <c r="G67" s="15">
        <v>359</v>
      </c>
      <c r="H67" s="14">
        <v>513</v>
      </c>
      <c r="I67" s="14">
        <v>646</v>
      </c>
      <c r="J67" s="14">
        <v>551</v>
      </c>
      <c r="K67" s="14">
        <v>922</v>
      </c>
      <c r="L67" s="14">
        <v>892</v>
      </c>
      <c r="M67" s="20">
        <v>288</v>
      </c>
      <c r="N67" s="15">
        <v>15</v>
      </c>
      <c r="O67" s="14">
        <v>4186</v>
      </c>
    </row>
    <row r="68" spans="2:15" x14ac:dyDescent="0.4">
      <c r="C68" s="11" t="s">
        <v>18</v>
      </c>
      <c r="D68" s="10">
        <f>O68/$O$69</f>
        <v>5.7076663858466721E-2</v>
      </c>
      <c r="F68" s="18" t="s">
        <v>18</v>
      </c>
      <c r="G68" s="12">
        <v>4</v>
      </c>
      <c r="H68" s="17">
        <v>13</v>
      </c>
      <c r="I68" s="17">
        <v>17</v>
      </c>
      <c r="J68" s="17">
        <v>22</v>
      </c>
      <c r="K68" s="17">
        <v>64</v>
      </c>
      <c r="L68" s="17">
        <v>108</v>
      </c>
      <c r="M68" s="16">
        <v>40</v>
      </c>
      <c r="N68" s="15">
        <v>3</v>
      </c>
      <c r="O68" s="14">
        <v>271</v>
      </c>
    </row>
    <row r="69" spans="2:15" x14ac:dyDescent="0.4">
      <c r="F69" s="13" t="s">
        <v>23</v>
      </c>
      <c r="G69" s="12">
        <v>379</v>
      </c>
      <c r="H69" s="12">
        <v>550</v>
      </c>
      <c r="I69" s="12">
        <v>723</v>
      </c>
      <c r="J69" s="12">
        <v>624</v>
      </c>
      <c r="K69" s="12">
        <v>1060</v>
      </c>
      <c r="L69" s="12">
        <v>1048</v>
      </c>
      <c r="M69" s="12">
        <v>345</v>
      </c>
      <c r="N69" s="12">
        <v>19</v>
      </c>
      <c r="O69" s="12">
        <v>4748</v>
      </c>
    </row>
    <row r="71" spans="2:15" x14ac:dyDescent="0.4">
      <c r="G71" s="47" t="s">
        <v>31</v>
      </c>
      <c r="H71" s="47" t="s">
        <v>30</v>
      </c>
      <c r="I71" s="47" t="s">
        <v>29</v>
      </c>
      <c r="J71" s="47" t="s">
        <v>28</v>
      </c>
      <c r="K71" s="47" t="s">
        <v>27</v>
      </c>
      <c r="L71" s="47" t="s">
        <v>26</v>
      </c>
      <c r="M71" s="47" t="s">
        <v>25</v>
      </c>
      <c r="N71" s="47" t="s">
        <v>63</v>
      </c>
    </row>
    <row r="72" spans="2:15" x14ac:dyDescent="0.4">
      <c r="G72" s="46">
        <f t="shared" ref="G72:N72" si="3">G66/G69</f>
        <v>4.221635883905013E-2</v>
      </c>
      <c r="H72" s="46">
        <f t="shared" si="3"/>
        <v>4.363636363636364E-2</v>
      </c>
      <c r="I72" s="46">
        <f t="shared" si="3"/>
        <v>8.2987551867219914E-2</v>
      </c>
      <c r="J72" s="46">
        <f t="shared" si="3"/>
        <v>8.1730769230769232E-2</v>
      </c>
      <c r="K72" s="46">
        <f t="shared" si="3"/>
        <v>6.981132075471698E-2</v>
      </c>
      <c r="L72" s="46">
        <f t="shared" si="3"/>
        <v>4.5801526717557252E-2</v>
      </c>
      <c r="M72" s="46">
        <f t="shared" si="3"/>
        <v>4.9275362318840582E-2</v>
      </c>
      <c r="N72" s="46">
        <f t="shared" si="3"/>
        <v>5.2631578947368418E-2</v>
      </c>
    </row>
    <row r="73" spans="2:15" ht="13.5" customHeight="1" x14ac:dyDescent="0.4"/>
    <row r="75" spans="2:15" x14ac:dyDescent="0.4">
      <c r="B75" s="9" t="s">
        <v>138</v>
      </c>
      <c r="O75" s="26"/>
    </row>
    <row r="76" spans="2:15" x14ac:dyDescent="0.4">
      <c r="O76" s="26" t="s">
        <v>32</v>
      </c>
    </row>
    <row r="77" spans="2:15" x14ac:dyDescent="0.4">
      <c r="B77" s="28"/>
      <c r="C77" s="9" t="s">
        <v>22</v>
      </c>
      <c r="D77" s="53"/>
      <c r="F77" s="25"/>
      <c r="G77" s="23" t="s">
        <v>31</v>
      </c>
      <c r="H77" s="22" t="s">
        <v>30</v>
      </c>
      <c r="I77" s="22" t="s">
        <v>29</v>
      </c>
      <c r="J77" s="22" t="s">
        <v>28</v>
      </c>
      <c r="K77" s="22" t="s">
        <v>27</v>
      </c>
      <c r="L77" s="22" t="s">
        <v>26</v>
      </c>
      <c r="M77" s="24" t="s">
        <v>25</v>
      </c>
      <c r="N77" s="23" t="s">
        <v>24</v>
      </c>
      <c r="O77" s="22" t="s">
        <v>23</v>
      </c>
    </row>
    <row r="78" spans="2:15" x14ac:dyDescent="0.4">
      <c r="C78" s="9" t="s">
        <v>75</v>
      </c>
      <c r="D78" s="10">
        <f>O78/$O$81</f>
        <v>0.85130581297388375</v>
      </c>
      <c r="F78" s="21">
        <v>1</v>
      </c>
      <c r="G78" s="15">
        <v>348</v>
      </c>
      <c r="H78" s="14">
        <v>508</v>
      </c>
      <c r="I78" s="14">
        <v>659</v>
      </c>
      <c r="J78" s="14">
        <v>535</v>
      </c>
      <c r="K78" s="14">
        <v>859</v>
      </c>
      <c r="L78" s="14">
        <v>836</v>
      </c>
      <c r="M78" s="20">
        <v>281</v>
      </c>
      <c r="N78" s="15">
        <v>16</v>
      </c>
      <c r="O78" s="14">
        <v>4042</v>
      </c>
    </row>
    <row r="79" spans="2:15" x14ac:dyDescent="0.4">
      <c r="C79" s="9" t="s">
        <v>74</v>
      </c>
      <c r="D79" s="10">
        <f>O79/$O$81</f>
        <v>0.11394271272114574</v>
      </c>
      <c r="F79" s="21">
        <v>2</v>
      </c>
      <c r="G79" s="15">
        <v>30</v>
      </c>
      <c r="H79" s="14">
        <v>36</v>
      </c>
      <c r="I79" s="14">
        <v>57</v>
      </c>
      <c r="J79" s="14">
        <v>77</v>
      </c>
      <c r="K79" s="14">
        <v>158</v>
      </c>
      <c r="L79" s="14">
        <v>146</v>
      </c>
      <c r="M79" s="20">
        <v>34</v>
      </c>
      <c r="N79" s="15">
        <v>3</v>
      </c>
      <c r="O79" s="14">
        <v>541</v>
      </c>
    </row>
    <row r="80" spans="2:15" x14ac:dyDescent="0.4">
      <c r="C80" s="11" t="s">
        <v>18</v>
      </c>
      <c r="D80" s="10">
        <f>O80/$O$81</f>
        <v>3.4751474304970512E-2</v>
      </c>
      <c r="F80" s="18" t="s">
        <v>18</v>
      </c>
      <c r="G80" s="12">
        <v>1</v>
      </c>
      <c r="H80" s="17">
        <v>6</v>
      </c>
      <c r="I80" s="17">
        <v>7</v>
      </c>
      <c r="J80" s="17">
        <v>12</v>
      </c>
      <c r="K80" s="17">
        <v>43</v>
      </c>
      <c r="L80" s="17">
        <v>66</v>
      </c>
      <c r="M80" s="16">
        <v>30</v>
      </c>
      <c r="N80" s="15"/>
      <c r="O80" s="14">
        <v>165</v>
      </c>
    </row>
    <row r="81" spans="2:15" x14ac:dyDescent="0.4">
      <c r="D81" s="34"/>
      <c r="F81" s="13" t="s">
        <v>23</v>
      </c>
      <c r="G81" s="12">
        <v>379</v>
      </c>
      <c r="H81" s="12">
        <v>550</v>
      </c>
      <c r="I81" s="12">
        <v>723</v>
      </c>
      <c r="J81" s="12">
        <v>624</v>
      </c>
      <c r="K81" s="12">
        <v>1060</v>
      </c>
      <c r="L81" s="12">
        <v>1048</v>
      </c>
      <c r="M81" s="12">
        <v>345</v>
      </c>
      <c r="N81" s="12">
        <v>19</v>
      </c>
      <c r="O81" s="12">
        <v>4748</v>
      </c>
    </row>
    <row r="83" spans="2:15" x14ac:dyDescent="0.4">
      <c r="B83" s="9" t="s">
        <v>54</v>
      </c>
      <c r="G83" s="47" t="s">
        <v>31</v>
      </c>
      <c r="H83" s="47" t="s">
        <v>30</v>
      </c>
      <c r="I83" s="47" t="s">
        <v>29</v>
      </c>
      <c r="J83" s="47" t="s">
        <v>28</v>
      </c>
      <c r="K83" s="47" t="s">
        <v>27</v>
      </c>
      <c r="L83" s="47" t="s">
        <v>26</v>
      </c>
      <c r="M83" s="47" t="s">
        <v>25</v>
      </c>
      <c r="N83" s="47" t="s">
        <v>63</v>
      </c>
    </row>
    <row r="84" spans="2:15" x14ac:dyDescent="0.4">
      <c r="B84" s="9" t="s">
        <v>137</v>
      </c>
      <c r="G84" s="46">
        <f t="shared" ref="G84:N84" si="4">G78/G81</f>
        <v>0.91820580474934033</v>
      </c>
      <c r="H84" s="46">
        <f t="shared" si="4"/>
        <v>0.92363636363636359</v>
      </c>
      <c r="I84" s="46">
        <f t="shared" si="4"/>
        <v>0.9114799446749654</v>
      </c>
      <c r="J84" s="46">
        <f t="shared" si="4"/>
        <v>0.85737179487179482</v>
      </c>
      <c r="K84" s="46">
        <f t="shared" si="4"/>
        <v>0.81037735849056602</v>
      </c>
      <c r="L84" s="46">
        <f t="shared" si="4"/>
        <v>0.79770992366412219</v>
      </c>
      <c r="M84" s="46">
        <f t="shared" si="4"/>
        <v>0.8144927536231884</v>
      </c>
      <c r="N84" s="46">
        <f t="shared" si="4"/>
        <v>0.84210526315789469</v>
      </c>
    </row>
    <row r="85" spans="2:15" x14ac:dyDescent="0.4">
      <c r="D85" s="9" t="s">
        <v>136</v>
      </c>
    </row>
    <row r="89" spans="2:15" x14ac:dyDescent="0.4">
      <c r="B89" s="9" t="s">
        <v>135</v>
      </c>
      <c r="O89" s="26"/>
    </row>
    <row r="90" spans="2:15" x14ac:dyDescent="0.4">
      <c r="O90" s="26" t="s">
        <v>32</v>
      </c>
    </row>
    <row r="91" spans="2:15" x14ac:dyDescent="0.4">
      <c r="B91" s="28"/>
      <c r="C91" s="9" t="s">
        <v>22</v>
      </c>
      <c r="D91" s="53"/>
      <c r="F91" s="25"/>
      <c r="G91" s="23" t="s">
        <v>31</v>
      </c>
      <c r="H91" s="22" t="s">
        <v>30</v>
      </c>
      <c r="I91" s="22" t="s">
        <v>29</v>
      </c>
      <c r="J91" s="22" t="s">
        <v>28</v>
      </c>
      <c r="K91" s="22" t="s">
        <v>27</v>
      </c>
      <c r="L91" s="22" t="s">
        <v>26</v>
      </c>
      <c r="M91" s="24" t="s">
        <v>25</v>
      </c>
      <c r="N91" s="23" t="s">
        <v>24</v>
      </c>
      <c r="O91" s="22" t="s">
        <v>23</v>
      </c>
    </row>
    <row r="92" spans="2:15" x14ac:dyDescent="0.4">
      <c r="C92" s="9" t="s">
        <v>75</v>
      </c>
      <c r="D92" s="10">
        <f>O92/$O$95</f>
        <v>0.69987363100252742</v>
      </c>
      <c r="F92" s="21">
        <v>1</v>
      </c>
      <c r="G92" s="15">
        <v>266</v>
      </c>
      <c r="H92" s="14">
        <v>363</v>
      </c>
      <c r="I92" s="14">
        <v>493</v>
      </c>
      <c r="J92" s="14">
        <v>403</v>
      </c>
      <c r="K92" s="14">
        <v>736</v>
      </c>
      <c r="L92" s="14">
        <v>770</v>
      </c>
      <c r="M92" s="20">
        <v>274</v>
      </c>
      <c r="N92" s="15">
        <v>18</v>
      </c>
      <c r="O92" s="14">
        <v>3323</v>
      </c>
    </row>
    <row r="93" spans="2:15" x14ac:dyDescent="0.4">
      <c r="C93" s="9" t="s">
        <v>74</v>
      </c>
      <c r="D93" s="10">
        <f>O93/$O$95</f>
        <v>0.23715248525695029</v>
      </c>
      <c r="F93" s="21">
        <v>2</v>
      </c>
      <c r="G93" s="15">
        <v>110</v>
      </c>
      <c r="H93" s="14">
        <v>166</v>
      </c>
      <c r="I93" s="14">
        <v>205</v>
      </c>
      <c r="J93" s="14">
        <v>201</v>
      </c>
      <c r="K93" s="14">
        <v>247</v>
      </c>
      <c r="L93" s="14">
        <v>166</v>
      </c>
      <c r="M93" s="20">
        <v>31</v>
      </c>
      <c r="N93" s="15"/>
      <c r="O93" s="14">
        <v>1126</v>
      </c>
    </row>
    <row r="94" spans="2:15" x14ac:dyDescent="0.4">
      <c r="C94" s="11" t="s">
        <v>18</v>
      </c>
      <c r="D94" s="10">
        <f>O94/$O$95</f>
        <v>6.2973883740522318E-2</v>
      </c>
      <c r="F94" s="18" t="s">
        <v>18</v>
      </c>
      <c r="G94" s="12">
        <v>3</v>
      </c>
      <c r="H94" s="17">
        <v>21</v>
      </c>
      <c r="I94" s="17">
        <v>25</v>
      </c>
      <c r="J94" s="17">
        <v>20</v>
      </c>
      <c r="K94" s="17">
        <v>77</v>
      </c>
      <c r="L94" s="17">
        <v>112</v>
      </c>
      <c r="M94" s="16">
        <v>40</v>
      </c>
      <c r="N94" s="15">
        <v>1</v>
      </c>
      <c r="O94" s="14">
        <v>299</v>
      </c>
    </row>
    <row r="95" spans="2:15" x14ac:dyDescent="0.4">
      <c r="F95" s="13" t="s">
        <v>23</v>
      </c>
      <c r="G95" s="12">
        <v>379</v>
      </c>
      <c r="H95" s="12">
        <v>550</v>
      </c>
      <c r="I95" s="12">
        <v>723</v>
      </c>
      <c r="J95" s="12">
        <v>624</v>
      </c>
      <c r="K95" s="12">
        <v>1060</v>
      </c>
      <c r="L95" s="12">
        <v>1048</v>
      </c>
      <c r="M95" s="12">
        <v>345</v>
      </c>
      <c r="N95" s="12">
        <v>19</v>
      </c>
      <c r="O95" s="12">
        <v>4748</v>
      </c>
    </row>
    <row r="97" spans="2:15" x14ac:dyDescent="0.4">
      <c r="G97" s="47" t="s">
        <v>31</v>
      </c>
      <c r="H97" s="47" t="s">
        <v>30</v>
      </c>
      <c r="I97" s="47" t="s">
        <v>29</v>
      </c>
      <c r="J97" s="47" t="s">
        <v>28</v>
      </c>
      <c r="K97" s="47" t="s">
        <v>27</v>
      </c>
      <c r="L97" s="47" t="s">
        <v>26</v>
      </c>
      <c r="M97" s="47" t="s">
        <v>25</v>
      </c>
      <c r="N97" s="47" t="s">
        <v>63</v>
      </c>
    </row>
    <row r="98" spans="2:15" x14ac:dyDescent="0.4">
      <c r="G98" s="46">
        <f t="shared" ref="G98:N98" si="5">G92/G95</f>
        <v>0.70184696569920846</v>
      </c>
      <c r="H98" s="46">
        <f t="shared" si="5"/>
        <v>0.66</v>
      </c>
      <c r="I98" s="46">
        <f t="shared" si="5"/>
        <v>0.681881051175657</v>
      </c>
      <c r="J98" s="46">
        <f t="shared" si="5"/>
        <v>0.64583333333333337</v>
      </c>
      <c r="K98" s="46">
        <f t="shared" si="5"/>
        <v>0.69433962264150939</v>
      </c>
      <c r="L98" s="46">
        <f t="shared" si="5"/>
        <v>0.73473282442748089</v>
      </c>
      <c r="M98" s="46">
        <f t="shared" si="5"/>
        <v>0.79420289855072468</v>
      </c>
      <c r="N98" s="46">
        <f t="shared" si="5"/>
        <v>0.94736842105263153</v>
      </c>
    </row>
    <row r="99" spans="2:15" x14ac:dyDescent="0.4">
      <c r="G99" s="75"/>
      <c r="H99" s="75"/>
      <c r="I99" s="75"/>
      <c r="J99" s="75"/>
      <c r="K99" s="75"/>
      <c r="L99" s="75"/>
      <c r="M99" s="75"/>
      <c r="N99" s="75"/>
    </row>
    <row r="100" spans="2:15" x14ac:dyDescent="0.4">
      <c r="K100" s="77"/>
    </row>
    <row r="102" spans="2:15" x14ac:dyDescent="0.4">
      <c r="B102" s="9" t="s">
        <v>134</v>
      </c>
      <c r="O102" s="26"/>
    </row>
    <row r="103" spans="2:15" x14ac:dyDescent="0.4">
      <c r="O103" s="26" t="s">
        <v>32</v>
      </c>
    </row>
    <row r="104" spans="2:15" x14ac:dyDescent="0.4">
      <c r="B104" s="28"/>
      <c r="C104" s="9" t="s">
        <v>22</v>
      </c>
      <c r="D104" s="53"/>
      <c r="F104" s="25"/>
      <c r="G104" s="23" t="s">
        <v>31</v>
      </c>
      <c r="H104" s="22" t="s">
        <v>30</v>
      </c>
      <c r="I104" s="22" t="s">
        <v>29</v>
      </c>
      <c r="J104" s="22" t="s">
        <v>28</v>
      </c>
      <c r="K104" s="22" t="s">
        <v>27</v>
      </c>
      <c r="L104" s="22" t="s">
        <v>26</v>
      </c>
      <c r="M104" s="24" t="s">
        <v>25</v>
      </c>
      <c r="N104" s="23" t="s">
        <v>24</v>
      </c>
      <c r="O104" s="22" t="s">
        <v>23</v>
      </c>
    </row>
    <row r="105" spans="2:15" x14ac:dyDescent="0.4">
      <c r="C105" s="9" t="s">
        <v>75</v>
      </c>
      <c r="D105" s="10">
        <f>O105/$O$108</f>
        <v>0.88331929233361417</v>
      </c>
      <c r="F105" s="21">
        <v>1</v>
      </c>
      <c r="G105" s="15">
        <v>351</v>
      </c>
      <c r="H105" s="14">
        <v>490</v>
      </c>
      <c r="I105" s="14">
        <v>652</v>
      </c>
      <c r="J105" s="14">
        <v>557</v>
      </c>
      <c r="K105" s="14">
        <v>928</v>
      </c>
      <c r="L105" s="14">
        <v>901</v>
      </c>
      <c r="M105" s="20">
        <v>299</v>
      </c>
      <c r="N105" s="15">
        <v>16</v>
      </c>
      <c r="O105" s="14">
        <v>4194</v>
      </c>
    </row>
    <row r="106" spans="2:15" x14ac:dyDescent="0.4">
      <c r="C106" s="9" t="s">
        <v>74</v>
      </c>
      <c r="D106" s="10">
        <f>O106/$O$108</f>
        <v>5.8550968828980622E-2</v>
      </c>
      <c r="F106" s="21">
        <v>2</v>
      </c>
      <c r="G106" s="15">
        <v>26</v>
      </c>
      <c r="H106" s="14">
        <v>40</v>
      </c>
      <c r="I106" s="14">
        <v>48</v>
      </c>
      <c r="J106" s="14">
        <v>50</v>
      </c>
      <c r="K106" s="14">
        <v>59</v>
      </c>
      <c r="L106" s="14">
        <v>43</v>
      </c>
      <c r="M106" s="20">
        <v>10</v>
      </c>
      <c r="N106" s="15">
        <v>2</v>
      </c>
      <c r="O106" s="14">
        <v>278</v>
      </c>
    </row>
    <row r="107" spans="2:15" x14ac:dyDescent="0.4">
      <c r="C107" s="11" t="s">
        <v>18</v>
      </c>
      <c r="D107" s="10">
        <f>O107/$O$108</f>
        <v>5.8129738837405222E-2</v>
      </c>
      <c r="F107" s="18" t="s">
        <v>18</v>
      </c>
      <c r="G107" s="12">
        <v>2</v>
      </c>
      <c r="H107" s="17">
        <v>20</v>
      </c>
      <c r="I107" s="17">
        <v>23</v>
      </c>
      <c r="J107" s="17">
        <v>17</v>
      </c>
      <c r="K107" s="17">
        <v>73</v>
      </c>
      <c r="L107" s="17">
        <v>104</v>
      </c>
      <c r="M107" s="16">
        <v>36</v>
      </c>
      <c r="N107" s="15">
        <v>1</v>
      </c>
      <c r="O107" s="14">
        <v>276</v>
      </c>
    </row>
    <row r="108" spans="2:15" x14ac:dyDescent="0.4">
      <c r="F108" s="13" t="s">
        <v>23</v>
      </c>
      <c r="G108" s="12">
        <v>379</v>
      </c>
      <c r="H108" s="12">
        <v>550</v>
      </c>
      <c r="I108" s="12">
        <v>723</v>
      </c>
      <c r="J108" s="12">
        <v>624</v>
      </c>
      <c r="K108" s="12">
        <v>1060</v>
      </c>
      <c r="L108" s="12">
        <v>1048</v>
      </c>
      <c r="M108" s="12">
        <v>345</v>
      </c>
      <c r="N108" s="12">
        <v>19</v>
      </c>
      <c r="O108" s="12">
        <v>4748</v>
      </c>
    </row>
    <row r="110" spans="2:15" x14ac:dyDescent="0.4">
      <c r="G110" s="47" t="s">
        <v>31</v>
      </c>
      <c r="H110" s="47" t="s">
        <v>30</v>
      </c>
      <c r="I110" s="47" t="s">
        <v>29</v>
      </c>
      <c r="J110" s="47" t="s">
        <v>28</v>
      </c>
      <c r="K110" s="47" t="s">
        <v>27</v>
      </c>
      <c r="L110" s="47" t="s">
        <v>26</v>
      </c>
      <c r="M110" s="47" t="s">
        <v>25</v>
      </c>
      <c r="N110" s="47" t="s">
        <v>63</v>
      </c>
    </row>
    <row r="111" spans="2:15" x14ac:dyDescent="0.4">
      <c r="G111" s="46">
        <f t="shared" ref="G111:N111" si="6">G105/G108</f>
        <v>0.92612137203166223</v>
      </c>
      <c r="H111" s="46">
        <f t="shared" si="6"/>
        <v>0.89090909090909087</v>
      </c>
      <c r="I111" s="46">
        <f t="shared" si="6"/>
        <v>0.90179806362378978</v>
      </c>
      <c r="J111" s="46">
        <f t="shared" si="6"/>
        <v>0.89262820512820518</v>
      </c>
      <c r="K111" s="46">
        <f t="shared" si="6"/>
        <v>0.87547169811320757</v>
      </c>
      <c r="L111" s="46">
        <f t="shared" si="6"/>
        <v>0.85973282442748089</v>
      </c>
      <c r="M111" s="46">
        <f t="shared" si="6"/>
        <v>0.8666666666666667</v>
      </c>
      <c r="N111" s="46">
        <f t="shared" si="6"/>
        <v>0.84210526315789469</v>
      </c>
    </row>
    <row r="112" spans="2:15" ht="14.25" customHeight="1" x14ac:dyDescent="0.4">
      <c r="O112" s="26"/>
    </row>
    <row r="113" spans="2:15" ht="14.25" customHeight="1" x14ac:dyDescent="0.4">
      <c r="O113" s="26"/>
    </row>
    <row r="114" spans="2:15" ht="14.25" customHeight="1" x14ac:dyDescent="0.4">
      <c r="O114" s="26"/>
    </row>
    <row r="115" spans="2:15" ht="14.25" customHeight="1" x14ac:dyDescent="0.4">
      <c r="B115" s="9" t="s">
        <v>60</v>
      </c>
      <c r="O115" s="26"/>
    </row>
    <row r="116" spans="2:15" ht="14.25" customHeight="1" x14ac:dyDescent="0.4">
      <c r="O116" s="26" t="s">
        <v>59</v>
      </c>
    </row>
    <row r="117" spans="2:15" ht="14.25" customHeight="1" x14ac:dyDescent="0.4">
      <c r="F117" s="25"/>
      <c r="G117" s="23" t="s">
        <v>31</v>
      </c>
      <c r="H117" s="22" t="s">
        <v>30</v>
      </c>
      <c r="I117" s="22" t="s">
        <v>29</v>
      </c>
      <c r="J117" s="22" t="s">
        <v>28</v>
      </c>
      <c r="K117" s="22" t="s">
        <v>27</v>
      </c>
      <c r="L117" s="22" t="s">
        <v>26</v>
      </c>
      <c r="M117" s="24" t="s">
        <v>25</v>
      </c>
      <c r="N117" s="23" t="s">
        <v>24</v>
      </c>
      <c r="O117" s="22" t="s">
        <v>23</v>
      </c>
    </row>
    <row r="118" spans="2:15" x14ac:dyDescent="0.4">
      <c r="F118" s="45" t="s">
        <v>58</v>
      </c>
      <c r="G118" s="15">
        <v>376</v>
      </c>
      <c r="H118" s="14">
        <v>535</v>
      </c>
      <c r="I118" s="14">
        <v>685</v>
      </c>
      <c r="J118" s="14">
        <v>596</v>
      </c>
      <c r="K118" s="14">
        <v>1004</v>
      </c>
      <c r="L118" s="14">
        <v>968</v>
      </c>
      <c r="M118" s="20">
        <v>298</v>
      </c>
      <c r="N118" s="15">
        <v>18</v>
      </c>
      <c r="O118" s="14">
        <v>4480</v>
      </c>
    </row>
    <row r="119" spans="2:15" x14ac:dyDescent="0.4">
      <c r="F119" s="18" t="s">
        <v>18</v>
      </c>
      <c r="G119" s="15">
        <v>3</v>
      </c>
      <c r="H119" s="14">
        <v>15</v>
      </c>
      <c r="I119" s="14">
        <v>38</v>
      </c>
      <c r="J119" s="14">
        <v>28</v>
      </c>
      <c r="K119" s="14">
        <v>56</v>
      </c>
      <c r="L119" s="14">
        <v>80</v>
      </c>
      <c r="M119" s="20">
        <v>47</v>
      </c>
      <c r="N119" s="15">
        <v>1</v>
      </c>
      <c r="O119" s="14">
        <v>268</v>
      </c>
    </row>
    <row r="120" spans="2:15" x14ac:dyDescent="0.4">
      <c r="F120" s="13" t="s">
        <v>23</v>
      </c>
      <c r="G120" s="12">
        <v>379</v>
      </c>
      <c r="H120" s="12">
        <v>550</v>
      </c>
      <c r="I120" s="12">
        <v>723</v>
      </c>
      <c r="J120" s="12">
        <v>624</v>
      </c>
      <c r="K120" s="12">
        <v>1060</v>
      </c>
      <c r="L120" s="12">
        <v>1048</v>
      </c>
      <c r="M120" s="12">
        <v>345</v>
      </c>
      <c r="N120" s="12">
        <v>19</v>
      </c>
      <c r="O120" s="17">
        <v>4748</v>
      </c>
    </row>
    <row r="121" spans="2:15" x14ac:dyDescent="0.4">
      <c r="F121" s="45" t="s">
        <v>57</v>
      </c>
      <c r="G121" s="15">
        <v>4</v>
      </c>
      <c r="H121" s="14">
        <v>2</v>
      </c>
      <c r="I121" s="14">
        <v>0</v>
      </c>
      <c r="J121" s="14">
        <v>0</v>
      </c>
      <c r="K121" s="14">
        <v>0</v>
      </c>
      <c r="L121" s="14">
        <v>0</v>
      </c>
      <c r="M121" s="20">
        <v>0</v>
      </c>
      <c r="N121" s="15">
        <v>0</v>
      </c>
      <c r="O121" s="44"/>
    </row>
    <row r="122" spans="2:15" x14ac:dyDescent="0.4">
      <c r="F122" s="43" t="s">
        <v>56</v>
      </c>
      <c r="G122" s="12">
        <v>32</v>
      </c>
      <c r="H122" s="17">
        <v>31</v>
      </c>
      <c r="I122" s="17">
        <v>32</v>
      </c>
      <c r="J122" s="17">
        <v>29</v>
      </c>
      <c r="K122" s="17">
        <v>30</v>
      </c>
      <c r="L122" s="17">
        <v>31</v>
      </c>
      <c r="M122" s="16">
        <v>28</v>
      </c>
      <c r="N122" s="15">
        <v>27</v>
      </c>
      <c r="O122" s="37"/>
    </row>
    <row r="123" spans="2:15" x14ac:dyDescent="0.4">
      <c r="F123" s="42" t="s">
        <v>55</v>
      </c>
      <c r="G123" s="41">
        <v>27.651595744680851</v>
      </c>
      <c r="H123" s="40">
        <v>27.157009345794393</v>
      </c>
      <c r="I123" s="40">
        <v>26.280291970802921</v>
      </c>
      <c r="J123" s="40">
        <v>23.318791946308725</v>
      </c>
      <c r="K123" s="40">
        <v>18.714143426294822</v>
      </c>
      <c r="L123" s="40">
        <v>14.920454545454545</v>
      </c>
      <c r="M123" s="39">
        <v>10.567114093959731</v>
      </c>
      <c r="N123" s="38">
        <v>6.4444444444444446</v>
      </c>
      <c r="O123" s="37"/>
    </row>
    <row r="124" spans="2:15" x14ac:dyDescent="0.4">
      <c r="B124" s="9" t="s">
        <v>54</v>
      </c>
    </row>
    <row r="125" spans="2:15" x14ac:dyDescent="0.4">
      <c r="B125" s="9" t="s">
        <v>133</v>
      </c>
    </row>
    <row r="126" spans="2:15" x14ac:dyDescent="0.4">
      <c r="B126" s="9" t="s">
        <v>132</v>
      </c>
      <c r="F126" s="9" t="s">
        <v>51</v>
      </c>
      <c r="I126" s="9" t="s">
        <v>50</v>
      </c>
    </row>
    <row r="127" spans="2:15" x14ac:dyDescent="0.4">
      <c r="F127" s="9" t="s">
        <v>48</v>
      </c>
      <c r="G127" s="34">
        <v>726</v>
      </c>
      <c r="I127" s="9" t="s">
        <v>48</v>
      </c>
      <c r="J127" s="34">
        <v>629</v>
      </c>
    </row>
    <row r="128" spans="2:15" x14ac:dyDescent="0.4">
      <c r="F128" s="9" t="s">
        <v>46</v>
      </c>
      <c r="G128" s="36">
        <v>15490</v>
      </c>
      <c r="I128" s="9" t="s">
        <v>46</v>
      </c>
      <c r="J128" s="36">
        <v>8643</v>
      </c>
    </row>
    <row r="129" spans="2:16" x14ac:dyDescent="0.4">
      <c r="F129" s="9" t="s">
        <v>45</v>
      </c>
      <c r="G129" s="35">
        <f>G128/G127</f>
        <v>21.336088154269973</v>
      </c>
      <c r="I129" s="9" t="s">
        <v>45</v>
      </c>
      <c r="J129" s="35">
        <f>J128/J127</f>
        <v>13.740858505564388</v>
      </c>
    </row>
    <row r="130" spans="2:16" x14ac:dyDescent="0.4">
      <c r="F130" s="9" t="s">
        <v>44</v>
      </c>
      <c r="G130" s="34">
        <v>380</v>
      </c>
      <c r="I130" s="9" t="s">
        <v>44</v>
      </c>
      <c r="J130" s="34">
        <v>231</v>
      </c>
    </row>
    <row r="131" spans="2:16" x14ac:dyDescent="0.4">
      <c r="F131" s="9" t="s">
        <v>43</v>
      </c>
      <c r="G131" s="10">
        <f>G130/G127</f>
        <v>0.52341597796143247</v>
      </c>
      <c r="I131" s="9" t="s">
        <v>43</v>
      </c>
      <c r="J131" s="10">
        <f>J130/J127</f>
        <v>0.36724960254372019</v>
      </c>
    </row>
    <row r="132" spans="2:16" x14ac:dyDescent="0.4">
      <c r="G132" s="33"/>
      <c r="J132" s="33"/>
    </row>
    <row r="133" spans="2:16" x14ac:dyDescent="0.4">
      <c r="G133" s="33"/>
      <c r="J133" s="33"/>
    </row>
    <row r="134" spans="2:16" x14ac:dyDescent="0.4">
      <c r="G134" s="33"/>
      <c r="J134" s="33"/>
    </row>
    <row r="135" spans="2:16" x14ac:dyDescent="0.4">
      <c r="O135" s="26"/>
    </row>
    <row r="136" spans="2:16" x14ac:dyDescent="0.4">
      <c r="B136" s="9" t="s">
        <v>42</v>
      </c>
      <c r="G136" s="74"/>
      <c r="O136" s="26"/>
    </row>
    <row r="137" spans="2:16" x14ac:dyDescent="0.4">
      <c r="O137" s="26" t="s">
        <v>32</v>
      </c>
    </row>
    <row r="138" spans="2:16" x14ac:dyDescent="0.4">
      <c r="F138" s="25"/>
      <c r="G138" s="23" t="s">
        <v>31</v>
      </c>
      <c r="H138" s="22" t="s">
        <v>30</v>
      </c>
      <c r="I138" s="22" t="s">
        <v>29</v>
      </c>
      <c r="J138" s="22" t="s">
        <v>28</v>
      </c>
      <c r="K138" s="22" t="s">
        <v>27</v>
      </c>
      <c r="L138" s="22" t="s">
        <v>26</v>
      </c>
      <c r="M138" s="24" t="s">
        <v>25</v>
      </c>
      <c r="N138" s="23" t="s">
        <v>24</v>
      </c>
      <c r="O138" s="22" t="s">
        <v>23</v>
      </c>
    </row>
    <row r="139" spans="2:16" x14ac:dyDescent="0.4">
      <c r="C139" s="9" t="s">
        <v>38</v>
      </c>
      <c r="F139" s="21">
        <v>1</v>
      </c>
      <c r="G139" s="15">
        <v>95</v>
      </c>
      <c r="H139" s="14">
        <v>139</v>
      </c>
      <c r="I139" s="14">
        <v>200</v>
      </c>
      <c r="J139" s="14">
        <v>147</v>
      </c>
      <c r="K139" s="14">
        <v>162</v>
      </c>
      <c r="L139" s="14">
        <v>72</v>
      </c>
      <c r="M139" s="20">
        <v>6</v>
      </c>
      <c r="N139" s="15">
        <v>1</v>
      </c>
      <c r="O139" s="14">
        <v>822</v>
      </c>
    </row>
    <row r="140" spans="2:16" x14ac:dyDescent="0.4">
      <c r="C140" s="9" t="s">
        <v>41</v>
      </c>
      <c r="F140" s="21">
        <v>2</v>
      </c>
      <c r="G140" s="15">
        <v>46</v>
      </c>
      <c r="H140" s="14">
        <v>114</v>
      </c>
      <c r="I140" s="14">
        <v>210</v>
      </c>
      <c r="J140" s="14">
        <v>190</v>
      </c>
      <c r="K140" s="14">
        <v>323</v>
      </c>
      <c r="L140" s="14">
        <v>271</v>
      </c>
      <c r="M140" s="20">
        <v>95</v>
      </c>
      <c r="N140" s="15">
        <v>3</v>
      </c>
      <c r="O140" s="14">
        <v>1252</v>
      </c>
    </row>
    <row r="141" spans="2:16" x14ac:dyDescent="0.4">
      <c r="C141" s="9" t="s">
        <v>40</v>
      </c>
      <c r="F141" s="21">
        <v>3</v>
      </c>
      <c r="G141" s="15">
        <v>233</v>
      </c>
      <c r="H141" s="14">
        <v>292</v>
      </c>
      <c r="I141" s="14">
        <v>307</v>
      </c>
      <c r="J141" s="14">
        <v>268</v>
      </c>
      <c r="K141" s="14">
        <v>555</v>
      </c>
      <c r="L141" s="14">
        <v>678</v>
      </c>
      <c r="M141" s="20">
        <v>226</v>
      </c>
      <c r="N141" s="15">
        <v>12</v>
      </c>
      <c r="O141" s="14">
        <v>2571</v>
      </c>
    </row>
    <row r="142" spans="2:16" x14ac:dyDescent="0.4">
      <c r="F142" s="18" t="s">
        <v>18</v>
      </c>
      <c r="G142" s="12">
        <v>5</v>
      </c>
      <c r="H142" s="17">
        <v>5</v>
      </c>
      <c r="I142" s="17">
        <v>6</v>
      </c>
      <c r="J142" s="17">
        <v>19</v>
      </c>
      <c r="K142" s="17">
        <v>20</v>
      </c>
      <c r="L142" s="17">
        <v>27</v>
      </c>
      <c r="M142" s="16">
        <v>18</v>
      </c>
      <c r="N142" s="15">
        <v>3</v>
      </c>
      <c r="O142" s="14">
        <v>103</v>
      </c>
    </row>
    <row r="143" spans="2:16" x14ac:dyDescent="0.4">
      <c r="F143" s="13" t="s">
        <v>23</v>
      </c>
      <c r="G143" s="12">
        <v>379</v>
      </c>
      <c r="H143" s="12">
        <v>550</v>
      </c>
      <c r="I143" s="12">
        <v>723</v>
      </c>
      <c r="J143" s="12">
        <v>624</v>
      </c>
      <c r="K143" s="12">
        <v>1060</v>
      </c>
      <c r="L143" s="12">
        <v>1048</v>
      </c>
      <c r="M143" s="12">
        <v>345</v>
      </c>
      <c r="N143" s="12">
        <v>19</v>
      </c>
      <c r="O143" s="17">
        <v>4748</v>
      </c>
    </row>
    <row r="144" spans="2:16" x14ac:dyDescent="0.4">
      <c r="C144" s="9" t="s">
        <v>22</v>
      </c>
      <c r="F144" s="32" t="s">
        <v>39</v>
      </c>
      <c r="G144" s="31">
        <v>0.25065963060686014</v>
      </c>
      <c r="H144" s="76">
        <v>0.25272727272727274</v>
      </c>
      <c r="I144" s="31">
        <v>0.27662517289073307</v>
      </c>
      <c r="J144" s="31">
        <v>0.23557692307692307</v>
      </c>
      <c r="K144" s="76">
        <v>0.15283018867924528</v>
      </c>
      <c r="L144" s="76">
        <v>6.8702290076335881E-2</v>
      </c>
      <c r="M144" s="76">
        <v>1.7391304347826087E-2</v>
      </c>
      <c r="N144" s="76">
        <v>5.2631578947368418E-2</v>
      </c>
      <c r="O144" s="30"/>
      <c r="P144" s="27"/>
    </row>
    <row r="145" spans="3:10" x14ac:dyDescent="0.4">
      <c r="C145" s="9" t="s">
        <v>38</v>
      </c>
      <c r="D145" s="10">
        <f>O139/$O$143</f>
        <v>0.17312552653748947</v>
      </c>
      <c r="I145" s="29"/>
    </row>
    <row r="146" spans="3:10" x14ac:dyDescent="0.4">
      <c r="C146" s="28" t="s">
        <v>37</v>
      </c>
      <c r="D146" s="10">
        <f>O140/$O$143</f>
        <v>0.26368997472620048</v>
      </c>
    </row>
    <row r="147" spans="3:10" x14ac:dyDescent="0.4">
      <c r="C147" s="9" t="s">
        <v>36</v>
      </c>
      <c r="D147" s="10">
        <f>O141/$O$143</f>
        <v>0.5414911541701769</v>
      </c>
      <c r="J147" s="27"/>
    </row>
    <row r="148" spans="3:10" x14ac:dyDescent="0.4">
      <c r="C148" s="11" t="s">
        <v>18</v>
      </c>
      <c r="D148" s="10">
        <f>O142/$O$143</f>
        <v>2.1693344566133109E-2</v>
      </c>
    </row>
  </sheetData>
  <phoneticPr fontId="9"/>
  <pageMargins left="0.11811023622047245" right="0.11811023622047245" top="0.59055118110236227" bottom="0.55118110236220474" header="0.31496062992125984" footer="0.31496062992125984"/>
  <pageSetup paperSize="9" scale="67" fitToHeight="0" orientation="portrait" r:id="rId1"/>
  <rowBreaks count="2" manualBreakCount="2">
    <brk id="62" max="14" man="1"/>
    <brk id="114"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33"/>
  <sheetViews>
    <sheetView view="pageBreakPreview" topLeftCell="A54" zoomScale="60" zoomScaleNormal="100" workbookViewId="0">
      <selection activeCell="H15" sqref="H15"/>
    </sheetView>
  </sheetViews>
  <sheetFormatPr defaultRowHeight="18.75" x14ac:dyDescent="0.4"/>
  <cols>
    <col min="1" max="5" width="9" style="9"/>
    <col min="6" max="6" width="9.875" style="9" customWidth="1"/>
    <col min="7" max="16384" width="9" style="9"/>
  </cols>
  <sheetData>
    <row r="1" spans="1:15" ht="26.25" customHeight="1" x14ac:dyDescent="0.4">
      <c r="B1" s="73" t="s">
        <v>131</v>
      </c>
    </row>
    <row r="2" spans="1:15" ht="21.75" customHeight="1" x14ac:dyDescent="0.4">
      <c r="B2" s="72"/>
    </row>
    <row r="3" spans="1:15" ht="18" customHeight="1" x14ac:dyDescent="0.4">
      <c r="B3" s="70" t="s">
        <v>111</v>
      </c>
    </row>
    <row r="4" spans="1:15" ht="15" customHeight="1" x14ac:dyDescent="0.4">
      <c r="B4" s="34" t="s">
        <v>130</v>
      </c>
    </row>
    <row r="5" spans="1:15" ht="15" customHeight="1" x14ac:dyDescent="0.4">
      <c r="B5" s="71" t="s">
        <v>129</v>
      </c>
    </row>
    <row r="6" spans="1:15" ht="15" customHeight="1" x14ac:dyDescent="0.4">
      <c r="A6" s="9" t="s">
        <v>128</v>
      </c>
      <c r="B6" s="34" t="s">
        <v>127</v>
      </c>
    </row>
    <row r="7" spans="1:15" ht="13.5" customHeight="1" x14ac:dyDescent="0.4">
      <c r="B7" s="34"/>
      <c r="G7" s="27"/>
    </row>
    <row r="8" spans="1:15" ht="13.5" customHeight="1" x14ac:dyDescent="0.4">
      <c r="B8" s="34"/>
    </row>
    <row r="9" spans="1:15" ht="18" customHeight="1" x14ac:dyDescent="0.4">
      <c r="B9" s="70" t="s">
        <v>106</v>
      </c>
    </row>
    <row r="10" spans="1:15" x14ac:dyDescent="0.4">
      <c r="B10" s="34"/>
    </row>
    <row r="11" spans="1:15" x14ac:dyDescent="0.4">
      <c r="B11" s="9" t="s">
        <v>105</v>
      </c>
    </row>
    <row r="13" spans="1:15" x14ac:dyDescent="0.4">
      <c r="F13" s="69"/>
      <c r="O13" s="26" t="s">
        <v>32</v>
      </c>
    </row>
    <row r="14" spans="1:15" x14ac:dyDescent="0.4">
      <c r="B14" s="47" t="s">
        <v>104</v>
      </c>
      <c r="C14" s="68" t="s">
        <v>126</v>
      </c>
      <c r="D14" s="67">
        <f>O15/$O$17</f>
        <v>0.42390025876264409</v>
      </c>
      <c r="E14" s="66"/>
      <c r="F14" s="25"/>
      <c r="G14" s="23" t="s">
        <v>31</v>
      </c>
      <c r="H14" s="22" t="s">
        <v>30</v>
      </c>
      <c r="I14" s="22" t="s">
        <v>29</v>
      </c>
      <c r="J14" s="22" t="s">
        <v>28</v>
      </c>
      <c r="K14" s="22" t="s">
        <v>27</v>
      </c>
      <c r="L14" s="22" t="s">
        <v>26</v>
      </c>
      <c r="M14" s="24" t="s">
        <v>25</v>
      </c>
      <c r="N14" s="23" t="s">
        <v>24</v>
      </c>
      <c r="O14" s="22" t="s">
        <v>23</v>
      </c>
    </row>
    <row r="15" spans="1:15" x14ac:dyDescent="0.4">
      <c r="B15" s="47" t="s">
        <v>102</v>
      </c>
      <c r="C15" s="59" t="s">
        <v>125</v>
      </c>
      <c r="D15" s="67">
        <f>O16/$O$17</f>
        <v>0.57609974123735597</v>
      </c>
      <c r="E15" s="66"/>
      <c r="F15" s="21" t="s">
        <v>100</v>
      </c>
      <c r="G15" s="15">
        <v>141</v>
      </c>
      <c r="H15" s="14">
        <v>176</v>
      </c>
      <c r="I15" s="14">
        <v>263</v>
      </c>
      <c r="J15" s="14">
        <v>252</v>
      </c>
      <c r="K15" s="14">
        <v>393</v>
      </c>
      <c r="L15" s="14">
        <v>440</v>
      </c>
      <c r="M15" s="20">
        <v>133</v>
      </c>
      <c r="N15" s="15">
        <v>4</v>
      </c>
      <c r="O15" s="14">
        <v>1802</v>
      </c>
    </row>
    <row r="16" spans="1:15" x14ac:dyDescent="0.4">
      <c r="B16" s="47" t="s">
        <v>99</v>
      </c>
      <c r="C16" s="59" t="s">
        <v>124</v>
      </c>
      <c r="D16" s="58"/>
      <c r="E16" s="65"/>
      <c r="F16" s="21" t="s">
        <v>97</v>
      </c>
      <c r="G16" s="15">
        <v>129</v>
      </c>
      <c r="H16" s="14">
        <v>216</v>
      </c>
      <c r="I16" s="14">
        <v>292</v>
      </c>
      <c r="J16" s="14">
        <v>349</v>
      </c>
      <c r="K16" s="14">
        <v>586</v>
      </c>
      <c r="L16" s="14">
        <v>693</v>
      </c>
      <c r="M16" s="20">
        <v>177</v>
      </c>
      <c r="N16" s="15">
        <v>7</v>
      </c>
      <c r="O16" s="14">
        <v>2449</v>
      </c>
    </row>
    <row r="17" spans="2:15" x14ac:dyDescent="0.4">
      <c r="C17" s="58"/>
      <c r="D17" s="58"/>
      <c r="E17" s="27"/>
      <c r="F17" s="23" t="s">
        <v>23</v>
      </c>
      <c r="G17" s="17">
        <v>270</v>
      </c>
      <c r="H17" s="17">
        <v>392</v>
      </c>
      <c r="I17" s="17">
        <v>555</v>
      </c>
      <c r="J17" s="17">
        <v>601</v>
      </c>
      <c r="K17" s="17">
        <v>979</v>
      </c>
      <c r="L17" s="17">
        <v>1133</v>
      </c>
      <c r="M17" s="16">
        <v>310</v>
      </c>
      <c r="N17" s="15">
        <v>11</v>
      </c>
      <c r="O17" s="17">
        <v>4251</v>
      </c>
    </row>
    <row r="18" spans="2:15" x14ac:dyDescent="0.4">
      <c r="B18" s="47" t="s">
        <v>96</v>
      </c>
      <c r="C18" s="59" t="s">
        <v>95</v>
      </c>
      <c r="D18" s="58"/>
      <c r="F18" s="64" t="s">
        <v>94</v>
      </c>
      <c r="G18" s="31">
        <f t="shared" ref="G18:N18" si="0">G17/$O$17</f>
        <v>6.3514467184191958E-2</v>
      </c>
      <c r="H18" s="31">
        <f t="shared" si="0"/>
        <v>9.2213596800752765E-2</v>
      </c>
      <c r="I18" s="31">
        <f t="shared" si="0"/>
        <v>0.1305575158786168</v>
      </c>
      <c r="J18" s="31">
        <f t="shared" si="0"/>
        <v>0.14137849917666431</v>
      </c>
      <c r="K18" s="31">
        <f t="shared" si="0"/>
        <v>0.23029875323453305</v>
      </c>
      <c r="L18" s="31">
        <f t="shared" si="0"/>
        <v>0.26652552340625735</v>
      </c>
      <c r="M18" s="31">
        <f t="shared" si="0"/>
        <v>7.2924017878146313E-2</v>
      </c>
      <c r="N18" s="31">
        <f t="shared" si="0"/>
        <v>2.5876264408374499E-3</v>
      </c>
      <c r="O18" s="63"/>
    </row>
    <row r="19" spans="2:15" x14ac:dyDescent="0.4">
      <c r="B19" s="47" t="s">
        <v>93</v>
      </c>
      <c r="C19" s="59" t="s">
        <v>123</v>
      </c>
      <c r="D19" s="58"/>
      <c r="G19" s="62"/>
      <c r="H19" s="61"/>
      <c r="I19" s="61"/>
      <c r="J19" s="61"/>
      <c r="K19" s="61"/>
      <c r="L19" s="61"/>
      <c r="M19" s="61"/>
      <c r="N19" s="29"/>
    </row>
    <row r="20" spans="2:15" x14ac:dyDescent="0.4">
      <c r="B20" s="60" t="s">
        <v>91</v>
      </c>
      <c r="C20" s="59" t="s">
        <v>122</v>
      </c>
      <c r="D20" s="58"/>
      <c r="N20" s="27"/>
    </row>
    <row r="21" spans="2:15" x14ac:dyDescent="0.4">
      <c r="M21" s="27"/>
    </row>
    <row r="23" spans="2:15" x14ac:dyDescent="0.4">
      <c r="B23" s="9" t="s">
        <v>89</v>
      </c>
      <c r="O23" s="26"/>
    </row>
    <row r="24" spans="2:15" x14ac:dyDescent="0.4">
      <c r="O24" s="26" t="s">
        <v>32</v>
      </c>
    </row>
    <row r="25" spans="2:15" x14ac:dyDescent="0.4">
      <c r="F25" s="25"/>
      <c r="G25" s="23" t="s">
        <v>31</v>
      </c>
      <c r="H25" s="22" t="s">
        <v>30</v>
      </c>
      <c r="I25" s="22" t="s">
        <v>29</v>
      </c>
      <c r="J25" s="22" t="s">
        <v>28</v>
      </c>
      <c r="K25" s="22" t="s">
        <v>27</v>
      </c>
      <c r="L25" s="22" t="s">
        <v>26</v>
      </c>
      <c r="M25" s="24" t="s">
        <v>25</v>
      </c>
      <c r="N25" s="23" t="s">
        <v>24</v>
      </c>
      <c r="O25" s="22" t="s">
        <v>23</v>
      </c>
    </row>
    <row r="26" spans="2:15" x14ac:dyDescent="0.4">
      <c r="C26" s="9" t="s">
        <v>88</v>
      </c>
      <c r="F26" s="21">
        <v>1</v>
      </c>
      <c r="G26" s="15">
        <v>25</v>
      </c>
      <c r="H26" s="14">
        <v>64</v>
      </c>
      <c r="I26" s="14">
        <v>121</v>
      </c>
      <c r="J26" s="14">
        <v>165</v>
      </c>
      <c r="K26" s="14">
        <v>299</v>
      </c>
      <c r="L26" s="14">
        <v>372</v>
      </c>
      <c r="M26" s="20">
        <v>110</v>
      </c>
      <c r="N26" s="15">
        <v>4</v>
      </c>
      <c r="O26" s="14">
        <f>SUM(G26:N26)</f>
        <v>1160</v>
      </c>
    </row>
    <row r="27" spans="2:15" x14ac:dyDescent="0.4">
      <c r="C27" s="9" t="s">
        <v>87</v>
      </c>
      <c r="F27" s="21">
        <v>2</v>
      </c>
      <c r="G27" s="15">
        <v>53</v>
      </c>
      <c r="H27" s="14">
        <v>84</v>
      </c>
      <c r="I27" s="14">
        <v>127</v>
      </c>
      <c r="J27" s="14">
        <v>107</v>
      </c>
      <c r="K27" s="14">
        <v>146</v>
      </c>
      <c r="L27" s="14">
        <v>150</v>
      </c>
      <c r="M27" s="20">
        <v>35</v>
      </c>
      <c r="N27" s="15">
        <v>3</v>
      </c>
      <c r="O27" s="14">
        <f>SUM(G27:N27)</f>
        <v>705</v>
      </c>
    </row>
    <row r="28" spans="2:15" x14ac:dyDescent="0.4">
      <c r="C28" s="9" t="s">
        <v>86</v>
      </c>
      <c r="F28" s="21">
        <v>3</v>
      </c>
      <c r="G28" s="15">
        <v>67</v>
      </c>
      <c r="H28" s="14">
        <v>100</v>
      </c>
      <c r="I28" s="14">
        <v>112</v>
      </c>
      <c r="J28" s="14">
        <v>113</v>
      </c>
      <c r="K28" s="14">
        <v>147</v>
      </c>
      <c r="L28" s="14">
        <v>139</v>
      </c>
      <c r="M28" s="20">
        <v>19</v>
      </c>
      <c r="N28" s="15">
        <v>0</v>
      </c>
      <c r="O28" s="14">
        <f>SUM(G28:N28)</f>
        <v>697</v>
      </c>
    </row>
    <row r="29" spans="2:15" x14ac:dyDescent="0.4">
      <c r="C29" s="9" t="s">
        <v>85</v>
      </c>
      <c r="F29" s="19">
        <v>4</v>
      </c>
      <c r="G29" s="12">
        <v>125</v>
      </c>
      <c r="H29" s="17">
        <v>144</v>
      </c>
      <c r="I29" s="17">
        <v>193</v>
      </c>
      <c r="J29" s="17">
        <v>214</v>
      </c>
      <c r="K29" s="17">
        <v>379</v>
      </c>
      <c r="L29" s="17">
        <v>446</v>
      </c>
      <c r="M29" s="16">
        <v>127</v>
      </c>
      <c r="N29" s="15">
        <v>4</v>
      </c>
      <c r="O29" s="14">
        <f>SUM(G29:N29)</f>
        <v>1632</v>
      </c>
    </row>
    <row r="30" spans="2:15" x14ac:dyDescent="0.4">
      <c r="F30" s="18" t="s">
        <v>18</v>
      </c>
      <c r="G30" s="12">
        <v>0</v>
      </c>
      <c r="H30" s="17">
        <v>0</v>
      </c>
      <c r="I30" s="17">
        <v>2</v>
      </c>
      <c r="J30" s="17">
        <v>2</v>
      </c>
      <c r="K30" s="17">
        <v>8</v>
      </c>
      <c r="L30" s="17">
        <v>26</v>
      </c>
      <c r="M30" s="16">
        <v>19</v>
      </c>
      <c r="N30" s="15">
        <v>0</v>
      </c>
      <c r="O30" s="14">
        <f>SUM(G30:N30)</f>
        <v>57</v>
      </c>
    </row>
    <row r="31" spans="2:15" x14ac:dyDescent="0.4">
      <c r="B31" s="9" t="s">
        <v>54</v>
      </c>
      <c r="F31" s="13" t="s">
        <v>23</v>
      </c>
      <c r="G31" s="12">
        <f t="shared" ref="G31:O31" si="1">SUM(G26:G30)</f>
        <v>270</v>
      </c>
      <c r="H31" s="12">
        <f t="shared" si="1"/>
        <v>392</v>
      </c>
      <c r="I31" s="12">
        <f t="shared" si="1"/>
        <v>555</v>
      </c>
      <c r="J31" s="12">
        <f t="shared" si="1"/>
        <v>601</v>
      </c>
      <c r="K31" s="12">
        <f t="shared" si="1"/>
        <v>979</v>
      </c>
      <c r="L31" s="12">
        <f t="shared" si="1"/>
        <v>1133</v>
      </c>
      <c r="M31" s="12">
        <f t="shared" si="1"/>
        <v>310</v>
      </c>
      <c r="N31" s="12">
        <f t="shared" si="1"/>
        <v>11</v>
      </c>
      <c r="O31" s="12">
        <f t="shared" si="1"/>
        <v>4251</v>
      </c>
    </row>
    <row r="32" spans="2:15" x14ac:dyDescent="0.4">
      <c r="B32" s="9" t="s">
        <v>84</v>
      </c>
    </row>
    <row r="33" spans="2:15" x14ac:dyDescent="0.4">
      <c r="D33" s="9" t="s">
        <v>83</v>
      </c>
      <c r="G33" s="47" t="s">
        <v>31</v>
      </c>
      <c r="H33" s="47" t="s">
        <v>30</v>
      </c>
      <c r="I33" s="47" t="s">
        <v>29</v>
      </c>
      <c r="J33" s="47" t="s">
        <v>28</v>
      </c>
      <c r="K33" s="47" t="s">
        <v>27</v>
      </c>
      <c r="L33" s="47" t="s">
        <v>26</v>
      </c>
      <c r="M33" s="47" t="s">
        <v>25</v>
      </c>
      <c r="N33" s="47" t="s">
        <v>63</v>
      </c>
    </row>
    <row r="34" spans="2:15" x14ac:dyDescent="0.4">
      <c r="B34" s="9" t="s">
        <v>82</v>
      </c>
      <c r="G34" s="46">
        <f t="shared" ref="G34:N34" si="2">SUM(G26:G28)/G31</f>
        <v>0.53703703703703709</v>
      </c>
      <c r="H34" s="46">
        <f t="shared" si="2"/>
        <v>0.63265306122448983</v>
      </c>
      <c r="I34" s="46">
        <f t="shared" si="2"/>
        <v>0.64864864864864868</v>
      </c>
      <c r="J34" s="46">
        <f t="shared" si="2"/>
        <v>0.6405990016638935</v>
      </c>
      <c r="K34" s="46">
        <f t="shared" si="2"/>
        <v>0.60469867211440242</v>
      </c>
      <c r="L34" s="46">
        <f t="shared" si="2"/>
        <v>0.58340688437775812</v>
      </c>
      <c r="M34" s="46">
        <f t="shared" si="2"/>
        <v>0.52903225806451615</v>
      </c>
      <c r="N34" s="46">
        <f t="shared" si="2"/>
        <v>0.63636363636363635</v>
      </c>
    </row>
    <row r="35" spans="2:15" x14ac:dyDescent="0.4">
      <c r="D35" s="9" t="s">
        <v>81</v>
      </c>
    </row>
    <row r="38" spans="2:15" x14ac:dyDescent="0.4">
      <c r="B38" s="9" t="s">
        <v>80</v>
      </c>
      <c r="O38" s="26"/>
    </row>
    <row r="39" spans="2:15" x14ac:dyDescent="0.4">
      <c r="O39" s="26" t="s">
        <v>32</v>
      </c>
    </row>
    <row r="40" spans="2:15" x14ac:dyDescent="0.4">
      <c r="C40" s="9" t="s">
        <v>22</v>
      </c>
      <c r="D40" s="53"/>
      <c r="F40" s="25"/>
      <c r="G40" s="23" t="s">
        <v>31</v>
      </c>
      <c r="H40" s="22" t="s">
        <v>30</v>
      </c>
      <c r="I40" s="22" t="s">
        <v>29</v>
      </c>
      <c r="J40" s="22" t="s">
        <v>28</v>
      </c>
      <c r="K40" s="22" t="s">
        <v>27</v>
      </c>
      <c r="L40" s="22" t="s">
        <v>26</v>
      </c>
      <c r="M40" s="24" t="s">
        <v>25</v>
      </c>
      <c r="N40" s="23" t="s">
        <v>24</v>
      </c>
      <c r="O40" s="22" t="s">
        <v>23</v>
      </c>
    </row>
    <row r="41" spans="2:15" x14ac:dyDescent="0.4">
      <c r="C41" s="9" t="s">
        <v>121</v>
      </c>
      <c r="D41" s="10">
        <f>O41/$O$44</f>
        <v>0.32604093154551872</v>
      </c>
      <c r="F41" s="21">
        <v>1</v>
      </c>
      <c r="G41" s="15">
        <v>70</v>
      </c>
      <c r="H41" s="14">
        <v>131</v>
      </c>
      <c r="I41" s="14">
        <v>175</v>
      </c>
      <c r="J41" s="14">
        <v>191</v>
      </c>
      <c r="K41" s="14">
        <v>317</v>
      </c>
      <c r="L41" s="14">
        <v>391</v>
      </c>
      <c r="M41" s="20">
        <v>106</v>
      </c>
      <c r="N41" s="15">
        <v>5</v>
      </c>
      <c r="O41" s="14">
        <f>SUM(G41:N41)</f>
        <v>1386</v>
      </c>
    </row>
    <row r="42" spans="2:15" x14ac:dyDescent="0.4">
      <c r="C42" s="9" t="s">
        <v>120</v>
      </c>
      <c r="D42" s="10">
        <f>O42/$O$44</f>
        <v>0.66360856269113155</v>
      </c>
      <c r="F42" s="21">
        <v>2</v>
      </c>
      <c r="G42" s="15">
        <v>200</v>
      </c>
      <c r="H42" s="14">
        <v>261</v>
      </c>
      <c r="I42" s="14">
        <v>377</v>
      </c>
      <c r="J42" s="14">
        <v>409</v>
      </c>
      <c r="K42" s="14">
        <v>655</v>
      </c>
      <c r="L42" s="14">
        <v>721</v>
      </c>
      <c r="M42" s="20">
        <v>192</v>
      </c>
      <c r="N42" s="15">
        <v>6</v>
      </c>
      <c r="O42" s="14">
        <f>SUM(G42:N42)</f>
        <v>2821</v>
      </c>
    </row>
    <row r="43" spans="2:15" x14ac:dyDescent="0.4">
      <c r="C43" s="11" t="s">
        <v>18</v>
      </c>
      <c r="D43" s="10">
        <f>O43/$O$44</f>
        <v>1.0350505763349799E-2</v>
      </c>
      <c r="F43" s="18" t="s">
        <v>18</v>
      </c>
      <c r="G43" s="12">
        <v>0</v>
      </c>
      <c r="H43" s="17">
        <v>0</v>
      </c>
      <c r="I43" s="17">
        <v>3</v>
      </c>
      <c r="J43" s="17">
        <v>1</v>
      </c>
      <c r="K43" s="17">
        <v>7</v>
      </c>
      <c r="L43" s="17">
        <v>21</v>
      </c>
      <c r="M43" s="16">
        <v>12</v>
      </c>
      <c r="N43" s="15">
        <v>0</v>
      </c>
      <c r="O43" s="14">
        <f>SUM(G43:N43)</f>
        <v>44</v>
      </c>
    </row>
    <row r="44" spans="2:15" x14ac:dyDescent="0.4">
      <c r="F44" s="13" t="s">
        <v>23</v>
      </c>
      <c r="G44" s="12">
        <f t="shared" ref="G44:O44" si="3">SUM(G41:G43)</f>
        <v>270</v>
      </c>
      <c r="H44" s="12">
        <f t="shared" si="3"/>
        <v>392</v>
      </c>
      <c r="I44" s="12">
        <f t="shared" si="3"/>
        <v>555</v>
      </c>
      <c r="J44" s="12">
        <f t="shared" si="3"/>
        <v>601</v>
      </c>
      <c r="K44" s="12">
        <f t="shared" si="3"/>
        <v>979</v>
      </c>
      <c r="L44" s="12">
        <f t="shared" si="3"/>
        <v>1133</v>
      </c>
      <c r="M44" s="12">
        <f t="shared" si="3"/>
        <v>310</v>
      </c>
      <c r="N44" s="12">
        <f t="shared" si="3"/>
        <v>11</v>
      </c>
      <c r="O44" s="12">
        <f t="shared" si="3"/>
        <v>4251</v>
      </c>
    </row>
    <row r="46" spans="2:15" x14ac:dyDescent="0.4">
      <c r="B46" s="9" t="s">
        <v>54</v>
      </c>
      <c r="G46" s="47" t="s">
        <v>31</v>
      </c>
      <c r="H46" s="47" t="s">
        <v>30</v>
      </c>
      <c r="I46" s="47" t="s">
        <v>29</v>
      </c>
      <c r="J46" s="47" t="s">
        <v>28</v>
      </c>
      <c r="K46" s="47" t="s">
        <v>27</v>
      </c>
      <c r="L46" s="47" t="s">
        <v>26</v>
      </c>
      <c r="M46" s="47" t="s">
        <v>25</v>
      </c>
      <c r="N46" s="47" t="s">
        <v>63</v>
      </c>
    </row>
    <row r="47" spans="2:15" x14ac:dyDescent="0.4">
      <c r="B47" s="9" t="s">
        <v>79</v>
      </c>
      <c r="G47" s="46">
        <f t="shared" ref="G47:N47" si="4">G41/G44</f>
        <v>0.25925925925925924</v>
      </c>
      <c r="H47" s="46">
        <f t="shared" si="4"/>
        <v>0.33418367346938777</v>
      </c>
      <c r="I47" s="46">
        <f t="shared" si="4"/>
        <v>0.31531531531531531</v>
      </c>
      <c r="J47" s="46">
        <f t="shared" si="4"/>
        <v>0.31780366056572379</v>
      </c>
      <c r="K47" s="46">
        <f t="shared" si="4"/>
        <v>0.32379979570990808</v>
      </c>
      <c r="L47" s="46">
        <f t="shared" si="4"/>
        <v>0.34510150044130627</v>
      </c>
      <c r="M47" s="46">
        <f t="shared" si="4"/>
        <v>0.34193548387096773</v>
      </c>
      <c r="N47" s="46">
        <f t="shared" si="4"/>
        <v>0.45454545454545453</v>
      </c>
    </row>
    <row r="48" spans="2:15" x14ac:dyDescent="0.4">
      <c r="D48" s="9" t="s">
        <v>78</v>
      </c>
    </row>
    <row r="51" spans="2:15" x14ac:dyDescent="0.4">
      <c r="B51" s="9" t="s">
        <v>77</v>
      </c>
      <c r="O51" s="26"/>
    </row>
    <row r="52" spans="2:15" x14ac:dyDescent="0.4">
      <c r="O52" s="26" t="s">
        <v>32</v>
      </c>
    </row>
    <row r="53" spans="2:15" x14ac:dyDescent="0.4">
      <c r="B53" s="28"/>
      <c r="C53" s="9" t="s">
        <v>22</v>
      </c>
      <c r="D53" s="53"/>
      <c r="F53" s="25"/>
      <c r="G53" s="23" t="s">
        <v>31</v>
      </c>
      <c r="H53" s="22" t="s">
        <v>30</v>
      </c>
      <c r="I53" s="22" t="s">
        <v>29</v>
      </c>
      <c r="J53" s="22" t="s">
        <v>28</v>
      </c>
      <c r="K53" s="22" t="s">
        <v>27</v>
      </c>
      <c r="L53" s="22" t="s">
        <v>26</v>
      </c>
      <c r="M53" s="24" t="s">
        <v>25</v>
      </c>
      <c r="N53" s="23" t="s">
        <v>24</v>
      </c>
      <c r="O53" s="22" t="s">
        <v>23</v>
      </c>
    </row>
    <row r="54" spans="2:15" x14ac:dyDescent="0.4">
      <c r="C54" s="9" t="s">
        <v>75</v>
      </c>
      <c r="D54" s="10">
        <f>O54/$O$69</f>
        <v>0.14561279698894378</v>
      </c>
      <c r="F54" s="21">
        <v>1</v>
      </c>
      <c r="G54" s="15">
        <v>66</v>
      </c>
      <c r="H54" s="14">
        <v>78</v>
      </c>
      <c r="I54" s="14">
        <v>94</v>
      </c>
      <c r="J54" s="14">
        <v>105</v>
      </c>
      <c r="K54" s="14">
        <v>130</v>
      </c>
      <c r="L54" s="14">
        <v>122</v>
      </c>
      <c r="M54" s="20">
        <v>23</v>
      </c>
      <c r="N54" s="15">
        <v>1</v>
      </c>
      <c r="O54" s="14">
        <f>SUM(G54:N54)</f>
        <v>619</v>
      </c>
    </row>
    <row r="55" spans="2:15" x14ac:dyDescent="0.4">
      <c r="C55" s="9" t="s">
        <v>118</v>
      </c>
      <c r="D55" s="10">
        <f>O55/$O$69</f>
        <v>0.81980710421077396</v>
      </c>
      <c r="F55" s="21">
        <v>2</v>
      </c>
      <c r="G55" s="15">
        <v>203</v>
      </c>
      <c r="H55" s="14">
        <v>312</v>
      </c>
      <c r="I55" s="14">
        <v>455</v>
      </c>
      <c r="J55" s="14">
        <v>488</v>
      </c>
      <c r="K55" s="14">
        <v>814</v>
      </c>
      <c r="L55" s="14">
        <v>952</v>
      </c>
      <c r="M55" s="20">
        <v>251</v>
      </c>
      <c r="N55" s="15">
        <v>10</v>
      </c>
      <c r="O55" s="14">
        <f>SUM(G55:N55)</f>
        <v>3485</v>
      </c>
    </row>
    <row r="56" spans="2:15" x14ac:dyDescent="0.4">
      <c r="C56" s="11" t="s">
        <v>18</v>
      </c>
      <c r="D56" s="10">
        <f>O56/$O$69</f>
        <v>3.4580098800282288E-2</v>
      </c>
      <c r="F56" s="18" t="s">
        <v>18</v>
      </c>
      <c r="G56" s="12">
        <v>1</v>
      </c>
      <c r="H56" s="17">
        <v>2</v>
      </c>
      <c r="I56" s="17">
        <v>6</v>
      </c>
      <c r="J56" s="17">
        <v>8</v>
      </c>
      <c r="K56" s="17">
        <v>35</v>
      </c>
      <c r="L56" s="17">
        <v>59</v>
      </c>
      <c r="M56" s="16">
        <v>36</v>
      </c>
      <c r="N56" s="15">
        <v>0</v>
      </c>
      <c r="O56" s="14">
        <f>SUM(G56:N56)</f>
        <v>147</v>
      </c>
    </row>
    <row r="57" spans="2:15" x14ac:dyDescent="0.4">
      <c r="F57" s="13" t="s">
        <v>23</v>
      </c>
      <c r="G57" s="12">
        <f t="shared" ref="G57:O57" si="5">SUM(G54:G56)</f>
        <v>270</v>
      </c>
      <c r="H57" s="12">
        <f t="shared" si="5"/>
        <v>392</v>
      </c>
      <c r="I57" s="12">
        <f t="shared" si="5"/>
        <v>555</v>
      </c>
      <c r="J57" s="12">
        <f t="shared" si="5"/>
        <v>601</v>
      </c>
      <c r="K57" s="12">
        <f t="shared" si="5"/>
        <v>979</v>
      </c>
      <c r="L57" s="12">
        <f t="shared" si="5"/>
        <v>1133</v>
      </c>
      <c r="M57" s="12">
        <f t="shared" si="5"/>
        <v>310</v>
      </c>
      <c r="N57" s="12">
        <f t="shared" si="5"/>
        <v>11</v>
      </c>
      <c r="O57" s="12">
        <f t="shared" si="5"/>
        <v>4251</v>
      </c>
    </row>
    <row r="59" spans="2:15" x14ac:dyDescent="0.4">
      <c r="G59" s="47" t="s">
        <v>31</v>
      </c>
      <c r="H59" s="47" t="s">
        <v>30</v>
      </c>
      <c r="I59" s="47" t="s">
        <v>29</v>
      </c>
      <c r="J59" s="47" t="s">
        <v>28</v>
      </c>
      <c r="K59" s="47" t="s">
        <v>27</v>
      </c>
      <c r="L59" s="47" t="s">
        <v>26</v>
      </c>
      <c r="M59" s="47" t="s">
        <v>25</v>
      </c>
      <c r="N59" s="47" t="s">
        <v>63</v>
      </c>
    </row>
    <row r="60" spans="2:15" x14ac:dyDescent="0.4">
      <c r="G60" s="46">
        <f t="shared" ref="G60:N60" si="6">G54/G57</f>
        <v>0.24444444444444444</v>
      </c>
      <c r="H60" s="46">
        <f t="shared" si="6"/>
        <v>0.19897959183673469</v>
      </c>
      <c r="I60" s="46">
        <f t="shared" si="6"/>
        <v>0.16936936936936936</v>
      </c>
      <c r="J60" s="46">
        <f t="shared" si="6"/>
        <v>0.17470881863560733</v>
      </c>
      <c r="K60" s="46">
        <f t="shared" si="6"/>
        <v>0.13278855975485188</v>
      </c>
      <c r="L60" s="46">
        <f t="shared" si="6"/>
        <v>0.10767872903795234</v>
      </c>
      <c r="M60" s="46">
        <f t="shared" si="6"/>
        <v>7.4193548387096769E-2</v>
      </c>
      <c r="N60" s="46">
        <f t="shared" si="6"/>
        <v>9.0909090909090912E-2</v>
      </c>
    </row>
    <row r="61" spans="2:15" x14ac:dyDescent="0.4">
      <c r="G61" s="75"/>
      <c r="H61" s="75"/>
      <c r="I61" s="75"/>
      <c r="J61" s="75"/>
      <c r="K61" s="75"/>
      <c r="L61" s="75"/>
      <c r="M61" s="75"/>
      <c r="N61" s="75"/>
    </row>
    <row r="63" spans="2:15" x14ac:dyDescent="0.4">
      <c r="B63" s="9" t="s">
        <v>76</v>
      </c>
      <c r="O63" s="26"/>
    </row>
    <row r="64" spans="2:15" x14ac:dyDescent="0.4">
      <c r="O64" s="26" t="s">
        <v>32</v>
      </c>
    </row>
    <row r="65" spans="2:15" x14ac:dyDescent="0.4">
      <c r="B65" s="28"/>
      <c r="C65" s="9" t="s">
        <v>22</v>
      </c>
      <c r="D65" s="53"/>
      <c r="F65" s="25"/>
      <c r="G65" s="23" t="s">
        <v>31</v>
      </c>
      <c r="H65" s="22" t="s">
        <v>30</v>
      </c>
      <c r="I65" s="22" t="s">
        <v>29</v>
      </c>
      <c r="J65" s="22" t="s">
        <v>28</v>
      </c>
      <c r="K65" s="22" t="s">
        <v>27</v>
      </c>
      <c r="L65" s="22" t="s">
        <v>26</v>
      </c>
      <c r="M65" s="24" t="s">
        <v>25</v>
      </c>
      <c r="N65" s="23" t="s">
        <v>24</v>
      </c>
      <c r="O65" s="22" t="s">
        <v>23</v>
      </c>
    </row>
    <row r="66" spans="2:15" x14ac:dyDescent="0.4">
      <c r="C66" s="9" t="s">
        <v>119</v>
      </c>
      <c r="D66" s="10">
        <f>O66/$O$69</f>
        <v>6.1397318278052226E-2</v>
      </c>
      <c r="F66" s="21">
        <v>1</v>
      </c>
      <c r="G66" s="15">
        <v>12</v>
      </c>
      <c r="H66" s="14">
        <v>17</v>
      </c>
      <c r="I66" s="14">
        <v>39</v>
      </c>
      <c r="J66" s="14">
        <v>39</v>
      </c>
      <c r="K66" s="14">
        <v>79</v>
      </c>
      <c r="L66" s="14">
        <v>61</v>
      </c>
      <c r="M66" s="20">
        <v>14</v>
      </c>
      <c r="N66" s="15">
        <v>0</v>
      </c>
      <c r="O66" s="14">
        <f>SUM(G66:N66)</f>
        <v>261</v>
      </c>
    </row>
    <row r="67" spans="2:15" x14ac:dyDescent="0.4">
      <c r="C67" s="9" t="s">
        <v>118</v>
      </c>
      <c r="D67" s="10">
        <f>O67/$O$69</f>
        <v>0.8786167960479887</v>
      </c>
      <c r="F67" s="21">
        <v>2</v>
      </c>
      <c r="G67" s="15">
        <v>255</v>
      </c>
      <c r="H67" s="14">
        <v>363</v>
      </c>
      <c r="I67" s="14">
        <v>507</v>
      </c>
      <c r="J67" s="14">
        <v>542</v>
      </c>
      <c r="K67" s="14">
        <v>840</v>
      </c>
      <c r="L67" s="14">
        <v>969</v>
      </c>
      <c r="M67" s="20">
        <v>250</v>
      </c>
      <c r="N67" s="15">
        <v>9</v>
      </c>
      <c r="O67" s="14">
        <f>SUM(G67:N67)</f>
        <v>3735</v>
      </c>
    </row>
    <row r="68" spans="2:15" x14ac:dyDescent="0.4">
      <c r="C68" s="11" t="s">
        <v>18</v>
      </c>
      <c r="D68" s="10">
        <f>O68/$O$69</f>
        <v>5.9985885673959072E-2</v>
      </c>
      <c r="F68" s="18" t="s">
        <v>18</v>
      </c>
      <c r="G68" s="12">
        <v>3</v>
      </c>
      <c r="H68" s="17">
        <v>12</v>
      </c>
      <c r="I68" s="17">
        <v>9</v>
      </c>
      <c r="J68" s="17">
        <v>20</v>
      </c>
      <c r="K68" s="17">
        <v>60</v>
      </c>
      <c r="L68" s="17">
        <v>103</v>
      </c>
      <c r="M68" s="16">
        <v>46</v>
      </c>
      <c r="N68" s="15">
        <v>2</v>
      </c>
      <c r="O68" s="14">
        <f>SUM(G68:N68)</f>
        <v>255</v>
      </c>
    </row>
    <row r="69" spans="2:15" x14ac:dyDescent="0.4">
      <c r="F69" s="13" t="s">
        <v>23</v>
      </c>
      <c r="G69" s="12">
        <f t="shared" ref="G69:O69" si="7">SUM(G66:G68)</f>
        <v>270</v>
      </c>
      <c r="H69" s="12">
        <f t="shared" si="7"/>
        <v>392</v>
      </c>
      <c r="I69" s="12">
        <f t="shared" si="7"/>
        <v>555</v>
      </c>
      <c r="J69" s="12">
        <f t="shared" si="7"/>
        <v>601</v>
      </c>
      <c r="K69" s="12">
        <f t="shared" si="7"/>
        <v>979</v>
      </c>
      <c r="L69" s="12">
        <f t="shared" si="7"/>
        <v>1133</v>
      </c>
      <c r="M69" s="12">
        <f t="shared" si="7"/>
        <v>310</v>
      </c>
      <c r="N69" s="12">
        <f t="shared" si="7"/>
        <v>11</v>
      </c>
      <c r="O69" s="12">
        <f t="shared" si="7"/>
        <v>4251</v>
      </c>
    </row>
    <row r="71" spans="2:15" x14ac:dyDescent="0.4">
      <c r="G71" s="47" t="s">
        <v>31</v>
      </c>
      <c r="H71" s="47" t="s">
        <v>30</v>
      </c>
      <c r="I71" s="47" t="s">
        <v>29</v>
      </c>
      <c r="J71" s="47" t="s">
        <v>28</v>
      </c>
      <c r="K71" s="47" t="s">
        <v>27</v>
      </c>
      <c r="L71" s="47" t="s">
        <v>26</v>
      </c>
      <c r="M71" s="47" t="s">
        <v>25</v>
      </c>
      <c r="N71" s="47" t="s">
        <v>63</v>
      </c>
    </row>
    <row r="72" spans="2:15" x14ac:dyDescent="0.4">
      <c r="B72" s="9" t="s">
        <v>54</v>
      </c>
      <c r="G72" s="46">
        <f t="shared" ref="G72:N72" si="8">G66/G69</f>
        <v>4.4444444444444446E-2</v>
      </c>
      <c r="H72" s="46">
        <f t="shared" si="8"/>
        <v>4.336734693877551E-2</v>
      </c>
      <c r="I72" s="46">
        <f t="shared" si="8"/>
        <v>7.0270270270270274E-2</v>
      </c>
      <c r="J72" s="46">
        <f t="shared" si="8"/>
        <v>6.4891846921797003E-2</v>
      </c>
      <c r="K72" s="46">
        <f t="shared" si="8"/>
        <v>8.0694586312563835E-2</v>
      </c>
      <c r="L72" s="46">
        <f t="shared" si="8"/>
        <v>5.3839364518976168E-2</v>
      </c>
      <c r="M72" s="46">
        <f t="shared" si="8"/>
        <v>4.5161290322580643E-2</v>
      </c>
      <c r="N72" s="46">
        <f t="shared" si="8"/>
        <v>0</v>
      </c>
    </row>
    <row r="73" spans="2:15" ht="13.5" customHeight="1" x14ac:dyDescent="0.4">
      <c r="B73" s="9" t="s">
        <v>73</v>
      </c>
    </row>
    <row r="74" spans="2:15" x14ac:dyDescent="0.4">
      <c r="D74" s="9" t="s">
        <v>72</v>
      </c>
    </row>
    <row r="75" spans="2:15" x14ac:dyDescent="0.4">
      <c r="C75" s="9" t="s">
        <v>71</v>
      </c>
    </row>
    <row r="76" spans="2:15" x14ac:dyDescent="0.4">
      <c r="G76" s="47" t="s">
        <v>31</v>
      </c>
      <c r="H76" s="47" t="s">
        <v>30</v>
      </c>
      <c r="I76" s="47" t="s">
        <v>29</v>
      </c>
      <c r="J76" s="47" t="s">
        <v>28</v>
      </c>
      <c r="K76" s="47" t="s">
        <v>27</v>
      </c>
      <c r="L76" s="47" t="s">
        <v>26</v>
      </c>
      <c r="M76" s="47" t="s">
        <v>25</v>
      </c>
      <c r="N76" s="47" t="s">
        <v>63</v>
      </c>
      <c r="O76" s="47" t="s">
        <v>70</v>
      </c>
    </row>
    <row r="77" spans="2:15" x14ac:dyDescent="0.4">
      <c r="F77" s="57" t="s">
        <v>58</v>
      </c>
      <c r="G77" s="9">
        <v>266</v>
      </c>
      <c r="H77" s="9">
        <v>378</v>
      </c>
      <c r="I77" s="9">
        <v>544</v>
      </c>
      <c r="J77" s="9">
        <v>576</v>
      </c>
      <c r="K77" s="9">
        <v>904</v>
      </c>
      <c r="L77" s="9">
        <v>1014</v>
      </c>
      <c r="M77" s="9">
        <v>256</v>
      </c>
      <c r="N77" s="9">
        <v>9</v>
      </c>
      <c r="O77" s="9">
        <f>SUM(G77:N77)</f>
        <v>3947</v>
      </c>
    </row>
    <row r="78" spans="2:15" x14ac:dyDescent="0.4">
      <c r="F78" s="56" t="s">
        <v>69</v>
      </c>
      <c r="G78" s="9">
        <v>69</v>
      </c>
      <c r="H78" s="9">
        <v>78</v>
      </c>
      <c r="I78" s="9">
        <f>544-439</f>
        <v>105</v>
      </c>
      <c r="J78" s="9">
        <f>576-468</f>
        <v>108</v>
      </c>
      <c r="K78" s="9">
        <f>904-763</f>
        <v>141</v>
      </c>
      <c r="L78" s="9">
        <f>1014-892</f>
        <v>122</v>
      </c>
      <c r="M78" s="9">
        <f>256-236</f>
        <v>20</v>
      </c>
      <c r="N78" s="9">
        <v>1</v>
      </c>
      <c r="O78" s="9">
        <f>SUM(G78:N78)</f>
        <v>644</v>
      </c>
    </row>
    <row r="79" spans="2:15" x14ac:dyDescent="0.4">
      <c r="F79" s="55" t="s">
        <v>68</v>
      </c>
      <c r="G79" s="54">
        <v>0.25939849624060152</v>
      </c>
      <c r="H79" s="54">
        <v>0.20634920634920634</v>
      </c>
      <c r="I79" s="54">
        <v>0.19301470588235295</v>
      </c>
      <c r="J79" s="54">
        <v>0.1875</v>
      </c>
      <c r="K79" s="54">
        <v>0.15597345132743362</v>
      </c>
      <c r="L79" s="54">
        <v>0.1203155818540434</v>
      </c>
      <c r="M79" s="54">
        <v>7.8125E-2</v>
      </c>
      <c r="N79" s="54">
        <v>0.1111111111111111</v>
      </c>
      <c r="O79" s="54">
        <v>0.16316189511021029</v>
      </c>
    </row>
    <row r="81" spans="2:15" x14ac:dyDescent="0.4">
      <c r="B81" s="9" t="s">
        <v>67</v>
      </c>
      <c r="O81" s="26"/>
    </row>
    <row r="82" spans="2:15" x14ac:dyDescent="0.4">
      <c r="O82" s="26" t="s">
        <v>32</v>
      </c>
    </row>
    <row r="83" spans="2:15" x14ac:dyDescent="0.4">
      <c r="B83" s="28"/>
      <c r="D83" s="53"/>
      <c r="F83" s="25"/>
      <c r="G83" s="23" t="s">
        <v>31</v>
      </c>
      <c r="H83" s="22" t="s">
        <v>30</v>
      </c>
      <c r="I83" s="22" t="s">
        <v>29</v>
      </c>
      <c r="J83" s="22" t="s">
        <v>28</v>
      </c>
      <c r="K83" s="22" t="s">
        <v>27</v>
      </c>
      <c r="L83" s="22" t="s">
        <v>26</v>
      </c>
      <c r="M83" s="24" t="s">
        <v>25</v>
      </c>
      <c r="N83" s="23" t="s">
        <v>24</v>
      </c>
      <c r="O83" s="22" t="s">
        <v>23</v>
      </c>
    </row>
    <row r="84" spans="2:15" x14ac:dyDescent="0.4">
      <c r="C84" s="51" t="s">
        <v>117</v>
      </c>
      <c r="D84" s="10"/>
      <c r="F84" s="21">
        <v>1</v>
      </c>
      <c r="G84" s="15">
        <v>250</v>
      </c>
      <c r="H84" s="14">
        <v>352</v>
      </c>
      <c r="I84" s="14">
        <v>462</v>
      </c>
      <c r="J84" s="14">
        <v>441</v>
      </c>
      <c r="K84" s="14">
        <v>672</v>
      </c>
      <c r="L84" s="14">
        <v>771</v>
      </c>
      <c r="M84" s="20">
        <v>216</v>
      </c>
      <c r="N84" s="15">
        <v>8</v>
      </c>
      <c r="O84" s="14">
        <f>SUM(G84:N84)</f>
        <v>3172</v>
      </c>
    </row>
    <row r="85" spans="2:15" x14ac:dyDescent="0.4">
      <c r="C85" s="50" t="s">
        <v>115</v>
      </c>
      <c r="D85" s="10"/>
      <c r="F85" s="21">
        <v>2</v>
      </c>
      <c r="G85" s="15">
        <v>14</v>
      </c>
      <c r="H85" s="14">
        <v>34</v>
      </c>
      <c r="I85" s="14">
        <v>87</v>
      </c>
      <c r="J85" s="14">
        <v>150</v>
      </c>
      <c r="K85" s="14">
        <v>287</v>
      </c>
      <c r="L85" s="14">
        <v>310</v>
      </c>
      <c r="M85" s="20">
        <v>71</v>
      </c>
      <c r="N85" s="15">
        <v>1</v>
      </c>
      <c r="O85" s="14">
        <f>SUM(G85:N85)</f>
        <v>954</v>
      </c>
    </row>
    <row r="86" spans="2:15" x14ac:dyDescent="0.4">
      <c r="C86" s="50" t="s">
        <v>114</v>
      </c>
      <c r="D86" s="10"/>
      <c r="F86" s="19">
        <v>3</v>
      </c>
      <c r="G86" s="12">
        <v>1</v>
      </c>
      <c r="H86" s="17">
        <v>0</v>
      </c>
      <c r="I86" s="17">
        <v>2</v>
      </c>
      <c r="J86" s="17">
        <v>4</v>
      </c>
      <c r="K86" s="17">
        <v>8</v>
      </c>
      <c r="L86" s="17">
        <v>16</v>
      </c>
      <c r="M86" s="16">
        <v>7</v>
      </c>
      <c r="N86" s="15">
        <v>0</v>
      </c>
      <c r="O86" s="14">
        <f>SUM(G86:N86)</f>
        <v>38</v>
      </c>
    </row>
    <row r="87" spans="2:15" x14ac:dyDescent="0.4">
      <c r="C87" s="11" t="s">
        <v>18</v>
      </c>
      <c r="D87" s="10"/>
      <c r="F87" s="18" t="s">
        <v>18</v>
      </c>
      <c r="G87" s="12">
        <v>5</v>
      </c>
      <c r="H87" s="17">
        <v>6</v>
      </c>
      <c r="I87" s="17">
        <v>4</v>
      </c>
      <c r="J87" s="17">
        <v>6</v>
      </c>
      <c r="K87" s="17">
        <v>12</v>
      </c>
      <c r="L87" s="17">
        <v>36</v>
      </c>
      <c r="M87" s="16">
        <v>16</v>
      </c>
      <c r="N87" s="15">
        <v>2</v>
      </c>
      <c r="O87" s="14">
        <f>SUM(G87:N87)</f>
        <v>87</v>
      </c>
    </row>
    <row r="88" spans="2:15" x14ac:dyDescent="0.4">
      <c r="D88" s="34"/>
      <c r="F88" s="13" t="s">
        <v>23</v>
      </c>
      <c r="G88" s="12">
        <f t="shared" ref="G88:O88" si="9">SUM(G84:G87)</f>
        <v>270</v>
      </c>
      <c r="H88" s="12">
        <f t="shared" si="9"/>
        <v>392</v>
      </c>
      <c r="I88" s="12">
        <f t="shared" si="9"/>
        <v>555</v>
      </c>
      <c r="J88" s="12">
        <f t="shared" si="9"/>
        <v>601</v>
      </c>
      <c r="K88" s="12">
        <f t="shared" si="9"/>
        <v>979</v>
      </c>
      <c r="L88" s="12">
        <f t="shared" si="9"/>
        <v>1133</v>
      </c>
      <c r="M88" s="12">
        <f t="shared" si="9"/>
        <v>310</v>
      </c>
      <c r="N88" s="12">
        <f t="shared" si="9"/>
        <v>11</v>
      </c>
      <c r="O88" s="12">
        <f t="shared" si="9"/>
        <v>4251</v>
      </c>
    </row>
    <row r="89" spans="2:15" x14ac:dyDescent="0.4">
      <c r="C89" s="28" t="s">
        <v>22</v>
      </c>
      <c r="D89" s="34"/>
      <c r="F89" s="52"/>
      <c r="G89" s="48"/>
      <c r="H89" s="48"/>
      <c r="I89" s="48"/>
      <c r="J89" s="48"/>
      <c r="K89" s="48"/>
      <c r="L89" s="48"/>
      <c r="M89" s="48"/>
      <c r="N89" s="48"/>
      <c r="O89" s="48"/>
    </row>
    <row r="90" spans="2:15" x14ac:dyDescent="0.4">
      <c r="C90" s="51" t="s">
        <v>116</v>
      </c>
      <c r="D90" s="34"/>
      <c r="F90" s="49">
        <f>O84/$O$88</f>
        <v>0.74617737003058104</v>
      </c>
      <c r="G90" s="48"/>
      <c r="H90" s="48"/>
      <c r="I90" s="48"/>
      <c r="J90" s="48"/>
      <c r="K90" s="48"/>
      <c r="L90" s="48"/>
      <c r="M90" s="48"/>
      <c r="N90" s="48"/>
      <c r="O90" s="48"/>
    </row>
    <row r="91" spans="2:15" x14ac:dyDescent="0.4">
      <c r="C91" s="50" t="s">
        <v>115</v>
      </c>
      <c r="D91" s="34"/>
      <c r="F91" s="49">
        <f>O85/$O$88</f>
        <v>0.22441778405081159</v>
      </c>
      <c r="G91" s="48"/>
      <c r="H91" s="48"/>
      <c r="I91" s="48"/>
      <c r="J91" s="48"/>
      <c r="K91" s="48"/>
      <c r="L91" s="48"/>
      <c r="M91" s="48"/>
      <c r="N91" s="48"/>
      <c r="O91" s="48"/>
    </row>
    <row r="92" spans="2:15" x14ac:dyDescent="0.4">
      <c r="C92" s="50" t="s">
        <v>114</v>
      </c>
      <c r="D92" s="34"/>
      <c r="F92" s="49">
        <f>O86/$O$88</f>
        <v>8.9390731592566448E-3</v>
      </c>
      <c r="G92" s="48"/>
      <c r="H92" s="48"/>
      <c r="I92" s="48"/>
      <c r="J92" s="48"/>
      <c r="K92" s="48"/>
      <c r="L92" s="48"/>
      <c r="M92" s="48"/>
      <c r="N92" s="48"/>
      <c r="O92" s="48"/>
    </row>
    <row r="93" spans="2:15" x14ac:dyDescent="0.4">
      <c r="C93" s="11" t="s">
        <v>18</v>
      </c>
      <c r="D93" s="34"/>
      <c r="F93" s="49">
        <f>O87/$O$88</f>
        <v>2.0465772759350742E-2</v>
      </c>
      <c r="G93" s="48"/>
      <c r="H93" s="48"/>
      <c r="I93" s="48"/>
      <c r="J93" s="48"/>
      <c r="K93" s="48"/>
      <c r="L93" s="48"/>
      <c r="M93" s="48"/>
      <c r="N93" s="48"/>
      <c r="O93" s="48"/>
    </row>
    <row r="95" spans="2:15" x14ac:dyDescent="0.4">
      <c r="B95" s="9" t="s">
        <v>54</v>
      </c>
      <c r="G95" s="47" t="s">
        <v>31</v>
      </c>
      <c r="H95" s="47" t="s">
        <v>30</v>
      </c>
      <c r="I95" s="47" t="s">
        <v>29</v>
      </c>
      <c r="J95" s="47" t="s">
        <v>28</v>
      </c>
      <c r="K95" s="47" t="s">
        <v>27</v>
      </c>
      <c r="L95" s="47" t="s">
        <v>26</v>
      </c>
      <c r="M95" s="47" t="s">
        <v>25</v>
      </c>
      <c r="N95" s="47" t="s">
        <v>63</v>
      </c>
    </row>
    <row r="96" spans="2:15" x14ac:dyDescent="0.4">
      <c r="B96" s="9" t="s">
        <v>62</v>
      </c>
      <c r="G96" s="46">
        <f t="shared" ref="G96:N96" si="10">G84/G88</f>
        <v>0.92592592592592593</v>
      </c>
      <c r="H96" s="46">
        <f t="shared" si="10"/>
        <v>0.89795918367346939</v>
      </c>
      <c r="I96" s="46">
        <f t="shared" si="10"/>
        <v>0.83243243243243248</v>
      </c>
      <c r="J96" s="46">
        <f t="shared" si="10"/>
        <v>0.73377703826955076</v>
      </c>
      <c r="K96" s="46">
        <f t="shared" si="10"/>
        <v>0.68641470888661904</v>
      </c>
      <c r="L96" s="46">
        <f t="shared" si="10"/>
        <v>0.68049426301853488</v>
      </c>
      <c r="M96" s="46">
        <f t="shared" si="10"/>
        <v>0.6967741935483871</v>
      </c>
      <c r="N96" s="46">
        <f t="shared" si="10"/>
        <v>0.72727272727272729</v>
      </c>
    </row>
    <row r="97" spans="2:15" x14ac:dyDescent="0.4">
      <c r="D97" s="9" t="s">
        <v>61</v>
      </c>
    </row>
    <row r="99" spans="2:15" ht="14.25" customHeight="1" x14ac:dyDescent="0.4">
      <c r="O99" s="26"/>
    </row>
    <row r="100" spans="2:15" ht="14.25" customHeight="1" x14ac:dyDescent="0.4">
      <c r="B100" s="9" t="s">
        <v>60</v>
      </c>
      <c r="O100" s="26"/>
    </row>
    <row r="101" spans="2:15" ht="14.25" customHeight="1" x14ac:dyDescent="0.4">
      <c r="O101" s="26" t="s">
        <v>59</v>
      </c>
    </row>
    <row r="102" spans="2:15" ht="14.25" customHeight="1" x14ac:dyDescent="0.4">
      <c r="F102" s="25"/>
      <c r="G102" s="23" t="s">
        <v>31</v>
      </c>
      <c r="H102" s="22" t="s">
        <v>30</v>
      </c>
      <c r="I102" s="22" t="s">
        <v>29</v>
      </c>
      <c r="J102" s="22" t="s">
        <v>28</v>
      </c>
      <c r="K102" s="22" t="s">
        <v>27</v>
      </c>
      <c r="L102" s="22" t="s">
        <v>26</v>
      </c>
      <c r="M102" s="24" t="s">
        <v>25</v>
      </c>
      <c r="N102" s="23" t="s">
        <v>24</v>
      </c>
      <c r="O102" s="22" t="s">
        <v>23</v>
      </c>
    </row>
    <row r="103" spans="2:15" x14ac:dyDescent="0.4">
      <c r="F103" s="45" t="s">
        <v>58</v>
      </c>
      <c r="G103" s="15">
        <v>263</v>
      </c>
      <c r="H103" s="14">
        <v>376</v>
      </c>
      <c r="I103" s="14">
        <v>527</v>
      </c>
      <c r="J103" s="14">
        <v>559</v>
      </c>
      <c r="K103" s="14">
        <v>923</v>
      </c>
      <c r="L103" s="14">
        <v>1054</v>
      </c>
      <c r="M103" s="20">
        <v>269</v>
      </c>
      <c r="N103" s="15">
        <v>9</v>
      </c>
      <c r="O103" s="14">
        <f>SUM(G103:N103)</f>
        <v>3980</v>
      </c>
    </row>
    <row r="104" spans="2:15" x14ac:dyDescent="0.4">
      <c r="F104" s="18" t="s">
        <v>18</v>
      </c>
      <c r="G104" s="15">
        <v>7</v>
      </c>
      <c r="H104" s="14">
        <v>16</v>
      </c>
      <c r="I104" s="14">
        <v>28</v>
      </c>
      <c r="J104" s="14">
        <v>42</v>
      </c>
      <c r="K104" s="14">
        <v>56</v>
      </c>
      <c r="L104" s="14">
        <v>79</v>
      </c>
      <c r="M104" s="20">
        <v>41</v>
      </c>
      <c r="N104" s="15">
        <v>2</v>
      </c>
      <c r="O104" s="14">
        <f>SUM(G104:N104)</f>
        <v>271</v>
      </c>
    </row>
    <row r="105" spans="2:15" x14ac:dyDescent="0.4">
      <c r="F105" s="13" t="s">
        <v>23</v>
      </c>
      <c r="G105" s="12">
        <f t="shared" ref="G105:N105" si="11">SUM(G103:G104)</f>
        <v>270</v>
      </c>
      <c r="H105" s="12">
        <f t="shared" si="11"/>
        <v>392</v>
      </c>
      <c r="I105" s="12">
        <f t="shared" si="11"/>
        <v>555</v>
      </c>
      <c r="J105" s="12">
        <f t="shared" si="11"/>
        <v>601</v>
      </c>
      <c r="K105" s="12">
        <f t="shared" si="11"/>
        <v>979</v>
      </c>
      <c r="L105" s="12">
        <f t="shared" si="11"/>
        <v>1133</v>
      </c>
      <c r="M105" s="12">
        <f t="shared" si="11"/>
        <v>310</v>
      </c>
      <c r="N105" s="12">
        <f t="shared" si="11"/>
        <v>11</v>
      </c>
      <c r="O105" s="14">
        <f>SUM(G105:N105)</f>
        <v>4251</v>
      </c>
    </row>
    <row r="106" spans="2:15" x14ac:dyDescent="0.4">
      <c r="F106" s="45" t="s">
        <v>57</v>
      </c>
      <c r="G106" s="15">
        <v>1</v>
      </c>
      <c r="H106" s="14">
        <v>1</v>
      </c>
      <c r="I106" s="14">
        <v>7</v>
      </c>
      <c r="J106" s="14">
        <v>0</v>
      </c>
      <c r="K106" s="14">
        <v>0</v>
      </c>
      <c r="L106" s="14">
        <v>0</v>
      </c>
      <c r="M106" s="20">
        <v>0</v>
      </c>
      <c r="N106" s="15">
        <v>0</v>
      </c>
      <c r="O106" s="44"/>
    </row>
    <row r="107" spans="2:15" x14ac:dyDescent="0.4">
      <c r="F107" s="43" t="s">
        <v>56</v>
      </c>
      <c r="G107" s="12">
        <v>32</v>
      </c>
      <c r="H107" s="17">
        <v>32</v>
      </c>
      <c r="I107" s="17">
        <v>32</v>
      </c>
      <c r="J107" s="17">
        <v>32</v>
      </c>
      <c r="K107" s="17">
        <v>31</v>
      </c>
      <c r="L107" s="17">
        <v>29</v>
      </c>
      <c r="M107" s="16">
        <v>29</v>
      </c>
      <c r="N107" s="15">
        <v>24</v>
      </c>
      <c r="O107" s="37"/>
    </row>
    <row r="108" spans="2:15" x14ac:dyDescent="0.4">
      <c r="F108" s="42" t="s">
        <v>55</v>
      </c>
      <c r="G108" s="41">
        <v>27.631178707224336</v>
      </c>
      <c r="H108" s="40">
        <v>27.079787234042552</v>
      </c>
      <c r="I108" s="40">
        <v>26.525616698292222</v>
      </c>
      <c r="J108" s="40">
        <v>23.465116279069768</v>
      </c>
      <c r="K108" s="40">
        <v>19.403033586132178</v>
      </c>
      <c r="L108" s="40">
        <v>16.0426944971537</v>
      </c>
      <c r="M108" s="39">
        <v>11.847583643122677</v>
      </c>
      <c r="N108" s="38">
        <v>8.6666666666666661</v>
      </c>
      <c r="O108" s="37"/>
    </row>
    <row r="109" spans="2:15" x14ac:dyDescent="0.4">
      <c r="B109" s="9" t="s">
        <v>54</v>
      </c>
    </row>
    <row r="110" spans="2:15" x14ac:dyDescent="0.4">
      <c r="B110" s="9" t="s">
        <v>53</v>
      </c>
    </row>
    <row r="111" spans="2:15" x14ac:dyDescent="0.4">
      <c r="D111" s="9" t="s">
        <v>52</v>
      </c>
      <c r="G111" s="9" t="s">
        <v>113</v>
      </c>
      <c r="J111" s="9" t="s">
        <v>50</v>
      </c>
    </row>
    <row r="112" spans="2:15" x14ac:dyDescent="0.4">
      <c r="B112" s="9" t="s">
        <v>49</v>
      </c>
      <c r="G112" s="9" t="s">
        <v>48</v>
      </c>
      <c r="H112" s="34">
        <v>675</v>
      </c>
      <c r="J112" s="9" t="s">
        <v>48</v>
      </c>
      <c r="K112" s="34">
        <v>622</v>
      </c>
    </row>
    <row r="113" spans="2:15" x14ac:dyDescent="0.4">
      <c r="D113" s="9" t="s">
        <v>47</v>
      </c>
      <c r="G113" s="9" t="s">
        <v>46</v>
      </c>
      <c r="H113" s="36">
        <v>14482</v>
      </c>
      <c r="J113" s="9" t="s">
        <v>46</v>
      </c>
      <c r="K113" s="36">
        <v>9002</v>
      </c>
    </row>
    <row r="114" spans="2:15" x14ac:dyDescent="0.4">
      <c r="G114" s="9" t="s">
        <v>45</v>
      </c>
      <c r="H114" s="35">
        <f>H113/H112</f>
        <v>21.454814814814814</v>
      </c>
      <c r="J114" s="9" t="s">
        <v>45</v>
      </c>
      <c r="K114" s="35">
        <f>K113/K112</f>
        <v>14.47266881028939</v>
      </c>
    </row>
    <row r="115" spans="2:15" x14ac:dyDescent="0.4">
      <c r="G115" s="9" t="s">
        <v>44</v>
      </c>
      <c r="H115" s="34">
        <v>372</v>
      </c>
      <c r="J115" s="9" t="s">
        <v>44</v>
      </c>
      <c r="K115" s="34">
        <v>249</v>
      </c>
    </row>
    <row r="116" spans="2:15" x14ac:dyDescent="0.4">
      <c r="G116" s="9" t="s">
        <v>43</v>
      </c>
      <c r="H116" s="10">
        <f>H115/H112</f>
        <v>0.55111111111111111</v>
      </c>
      <c r="J116" s="9" t="s">
        <v>43</v>
      </c>
      <c r="K116" s="10">
        <f>K115/K112</f>
        <v>0.40032154340836013</v>
      </c>
    </row>
    <row r="117" spans="2:15" x14ac:dyDescent="0.4">
      <c r="G117" s="33"/>
      <c r="J117" s="33"/>
    </row>
    <row r="118" spans="2:15" x14ac:dyDescent="0.4">
      <c r="G118" s="33"/>
      <c r="J118" s="33"/>
    </row>
    <row r="119" spans="2:15" x14ac:dyDescent="0.4">
      <c r="G119" s="33"/>
      <c r="J119" s="33"/>
    </row>
    <row r="120" spans="2:15" x14ac:dyDescent="0.4">
      <c r="O120" s="26"/>
    </row>
    <row r="121" spans="2:15" x14ac:dyDescent="0.4">
      <c r="G121" s="74"/>
      <c r="O121" s="26"/>
    </row>
    <row r="122" spans="2:15" x14ac:dyDescent="0.4">
      <c r="B122" s="9" t="s">
        <v>42</v>
      </c>
      <c r="O122" s="26" t="s">
        <v>32</v>
      </c>
    </row>
    <row r="123" spans="2:15" x14ac:dyDescent="0.4">
      <c r="F123" s="25"/>
      <c r="G123" s="23" t="s">
        <v>31</v>
      </c>
      <c r="H123" s="22" t="s">
        <v>30</v>
      </c>
      <c r="I123" s="22" t="s">
        <v>29</v>
      </c>
      <c r="J123" s="22" t="s">
        <v>28</v>
      </c>
      <c r="K123" s="22" t="s">
        <v>27</v>
      </c>
      <c r="L123" s="22" t="s">
        <v>26</v>
      </c>
      <c r="M123" s="24" t="s">
        <v>25</v>
      </c>
      <c r="N123" s="23" t="s">
        <v>24</v>
      </c>
      <c r="O123" s="22" t="s">
        <v>23</v>
      </c>
    </row>
    <row r="124" spans="2:15" x14ac:dyDescent="0.4">
      <c r="C124" s="9" t="s">
        <v>38</v>
      </c>
      <c r="F124" s="21">
        <v>1</v>
      </c>
      <c r="G124" s="15">
        <v>54</v>
      </c>
      <c r="H124" s="14">
        <v>92</v>
      </c>
      <c r="I124" s="14">
        <v>145</v>
      </c>
      <c r="J124" s="14">
        <v>135</v>
      </c>
      <c r="K124" s="14">
        <v>125</v>
      </c>
      <c r="L124" s="14">
        <v>87</v>
      </c>
      <c r="M124" s="20">
        <v>6</v>
      </c>
      <c r="N124" s="15">
        <v>0</v>
      </c>
      <c r="O124" s="14">
        <f>SUM(F124:N124)</f>
        <v>645</v>
      </c>
    </row>
    <row r="125" spans="2:15" x14ac:dyDescent="0.4">
      <c r="C125" s="9" t="s">
        <v>41</v>
      </c>
      <c r="F125" s="21">
        <v>2</v>
      </c>
      <c r="G125" s="15">
        <v>37</v>
      </c>
      <c r="H125" s="14">
        <v>98</v>
      </c>
      <c r="I125" s="14">
        <v>162</v>
      </c>
      <c r="J125" s="14">
        <v>166</v>
      </c>
      <c r="K125" s="14">
        <v>319</v>
      </c>
      <c r="L125" s="14">
        <v>313</v>
      </c>
      <c r="M125" s="20">
        <v>75</v>
      </c>
      <c r="N125" s="15">
        <v>2</v>
      </c>
      <c r="O125" s="14">
        <f>SUM(F125:N125)</f>
        <v>1174</v>
      </c>
    </row>
    <row r="126" spans="2:15" x14ac:dyDescent="0.4">
      <c r="C126" s="9" t="s">
        <v>40</v>
      </c>
      <c r="F126" s="21">
        <v>3</v>
      </c>
      <c r="G126" s="15">
        <v>174</v>
      </c>
      <c r="H126" s="14">
        <v>200</v>
      </c>
      <c r="I126" s="14">
        <v>237</v>
      </c>
      <c r="J126" s="14">
        <v>290</v>
      </c>
      <c r="K126" s="14">
        <v>520</v>
      </c>
      <c r="L126" s="14">
        <v>692</v>
      </c>
      <c r="M126" s="20">
        <v>202</v>
      </c>
      <c r="N126" s="15">
        <v>8</v>
      </c>
      <c r="O126" s="14">
        <f>SUM(F126:N126)</f>
        <v>2326</v>
      </c>
    </row>
    <row r="127" spans="2:15" x14ac:dyDescent="0.4">
      <c r="F127" s="18" t="s">
        <v>18</v>
      </c>
      <c r="G127" s="12">
        <v>5</v>
      </c>
      <c r="H127" s="17">
        <v>2</v>
      </c>
      <c r="I127" s="17">
        <v>11</v>
      </c>
      <c r="J127" s="17">
        <v>10</v>
      </c>
      <c r="K127" s="17">
        <v>15</v>
      </c>
      <c r="L127" s="17">
        <v>41</v>
      </c>
      <c r="M127" s="16">
        <v>27</v>
      </c>
      <c r="N127" s="15">
        <v>1</v>
      </c>
      <c r="O127" s="14">
        <f>SUM(F127:N127)</f>
        <v>112</v>
      </c>
    </row>
    <row r="128" spans="2:15" x14ac:dyDescent="0.4">
      <c r="F128" s="13" t="s">
        <v>23</v>
      </c>
      <c r="G128" s="12">
        <f t="shared" ref="G128:N128" si="12">SUM(G124:G127)</f>
        <v>270</v>
      </c>
      <c r="H128" s="12">
        <f t="shared" si="12"/>
        <v>392</v>
      </c>
      <c r="I128" s="12">
        <f t="shared" si="12"/>
        <v>555</v>
      </c>
      <c r="J128" s="12">
        <f t="shared" si="12"/>
        <v>601</v>
      </c>
      <c r="K128" s="12">
        <f t="shared" si="12"/>
        <v>979</v>
      </c>
      <c r="L128" s="12">
        <f t="shared" si="12"/>
        <v>1133</v>
      </c>
      <c r="M128" s="12">
        <f t="shared" si="12"/>
        <v>310</v>
      </c>
      <c r="N128" s="12">
        <f t="shared" si="12"/>
        <v>11</v>
      </c>
      <c r="O128" s="14">
        <f>SUM(F128:N128)</f>
        <v>4251</v>
      </c>
    </row>
    <row r="129" spans="3:16" x14ac:dyDescent="0.4">
      <c r="C129" s="9" t="s">
        <v>22</v>
      </c>
      <c r="F129" s="32" t="s">
        <v>39</v>
      </c>
      <c r="G129" s="31">
        <f t="shared" ref="G129:N129" si="13">G124/G128</f>
        <v>0.2</v>
      </c>
      <c r="H129" s="31">
        <f t="shared" si="13"/>
        <v>0.23469387755102042</v>
      </c>
      <c r="I129" s="31">
        <f t="shared" si="13"/>
        <v>0.26126126126126126</v>
      </c>
      <c r="J129" s="31">
        <f t="shared" si="13"/>
        <v>0.22462562396006655</v>
      </c>
      <c r="K129" s="31">
        <f t="shared" si="13"/>
        <v>0.12768130745658834</v>
      </c>
      <c r="L129" s="31">
        <f t="shared" si="13"/>
        <v>7.6787290379523393E-2</v>
      </c>
      <c r="M129" s="31">
        <f t="shared" si="13"/>
        <v>1.935483870967742E-2</v>
      </c>
      <c r="N129" s="31">
        <f t="shared" si="13"/>
        <v>0</v>
      </c>
      <c r="O129" s="30"/>
      <c r="P129" s="27"/>
    </row>
    <row r="130" spans="3:16" x14ac:dyDescent="0.4">
      <c r="C130" s="9" t="s">
        <v>38</v>
      </c>
      <c r="D130" s="10">
        <f>O124/$O$128</f>
        <v>0.15172900494001412</v>
      </c>
      <c r="I130" s="29"/>
    </row>
    <row r="131" spans="3:16" x14ac:dyDescent="0.4">
      <c r="C131" s="28" t="s">
        <v>37</v>
      </c>
      <c r="D131" s="10">
        <f>O125/$O$128</f>
        <v>0.27617031286756055</v>
      </c>
    </row>
    <row r="132" spans="3:16" x14ac:dyDescent="0.4">
      <c r="C132" s="9" t="s">
        <v>36</v>
      </c>
      <c r="D132" s="10">
        <f>O126/$O$128</f>
        <v>0.54716537285344624</v>
      </c>
      <c r="J132" s="27"/>
    </row>
    <row r="133" spans="3:16" x14ac:dyDescent="0.4">
      <c r="C133" s="11" t="s">
        <v>18</v>
      </c>
      <c r="D133" s="10">
        <f>O127/$O$128</f>
        <v>2.6346741943072217E-2</v>
      </c>
    </row>
  </sheetData>
  <phoneticPr fontId="9"/>
  <pageMargins left="0.11811023622047245" right="0.11811023622047245" top="0.59055118110236227" bottom="0.55118110236220474" header="0.31496062992125984" footer="0.31496062992125984"/>
  <pageSetup paperSize="9" scale="62" fitToHeight="2" orientation="portrait" r:id="rId1"/>
  <rowBreaks count="2" manualBreakCount="2">
    <brk id="62" max="16383" man="1"/>
    <brk id="121"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165"/>
  <sheetViews>
    <sheetView view="pageBreakPreview" topLeftCell="A70" zoomScale="60" zoomScaleNormal="100" workbookViewId="0">
      <selection activeCell="K104" sqref="K103:K104"/>
    </sheetView>
  </sheetViews>
  <sheetFormatPr defaultRowHeight="18.75" x14ac:dyDescent="0.4"/>
  <cols>
    <col min="1" max="5" width="9" style="9"/>
    <col min="6" max="6" width="9.875" style="9" customWidth="1"/>
    <col min="7" max="16384" width="9" style="9"/>
  </cols>
  <sheetData>
    <row r="1" spans="1:15" ht="26.25" customHeight="1" x14ac:dyDescent="0.4">
      <c r="B1" s="73" t="s">
        <v>112</v>
      </c>
    </row>
    <row r="2" spans="1:15" ht="15" customHeight="1" x14ac:dyDescent="0.4">
      <c r="B2" s="72"/>
    </row>
    <row r="3" spans="1:15" ht="18" customHeight="1" x14ac:dyDescent="0.4">
      <c r="B3" s="70" t="s">
        <v>111</v>
      </c>
    </row>
    <row r="4" spans="1:15" ht="15" customHeight="1" x14ac:dyDescent="0.4">
      <c r="B4" s="34" t="s">
        <v>110</v>
      </c>
    </row>
    <row r="5" spans="1:15" ht="15" customHeight="1" x14ac:dyDescent="0.4">
      <c r="B5" s="71" t="s">
        <v>109</v>
      </c>
    </row>
    <row r="6" spans="1:15" ht="15" customHeight="1" x14ac:dyDescent="0.4">
      <c r="A6" s="9" t="s">
        <v>108</v>
      </c>
      <c r="B6" s="34" t="s">
        <v>107</v>
      </c>
    </row>
    <row r="7" spans="1:15" ht="13.5" customHeight="1" x14ac:dyDescent="0.4">
      <c r="B7" s="34"/>
    </row>
    <row r="8" spans="1:15" ht="18" customHeight="1" x14ac:dyDescent="0.4">
      <c r="B8" s="70" t="s">
        <v>106</v>
      </c>
    </row>
    <row r="9" spans="1:15" x14ac:dyDescent="0.4">
      <c r="B9" s="9" t="s">
        <v>105</v>
      </c>
      <c r="O9" s="26" t="s">
        <v>32</v>
      </c>
    </row>
    <row r="10" spans="1:15" ht="9" customHeight="1" x14ac:dyDescent="0.4">
      <c r="F10" s="69"/>
      <c r="O10" s="26"/>
    </row>
    <row r="11" spans="1:15" x14ac:dyDescent="0.4">
      <c r="B11" s="47" t="s">
        <v>104</v>
      </c>
      <c r="C11" s="68" t="s">
        <v>103</v>
      </c>
      <c r="D11" s="67">
        <f>O12/$O$14</f>
        <v>0.46896665566193463</v>
      </c>
      <c r="E11" s="66"/>
      <c r="F11" s="25"/>
      <c r="G11" s="23" t="s">
        <v>31</v>
      </c>
      <c r="H11" s="22" t="s">
        <v>30</v>
      </c>
      <c r="I11" s="22" t="s">
        <v>29</v>
      </c>
      <c r="J11" s="22" t="s">
        <v>28</v>
      </c>
      <c r="K11" s="22" t="s">
        <v>27</v>
      </c>
      <c r="L11" s="22" t="s">
        <v>26</v>
      </c>
      <c r="M11" s="24" t="s">
        <v>25</v>
      </c>
      <c r="N11" s="23" t="s">
        <v>24</v>
      </c>
      <c r="O11" s="22" t="s">
        <v>23</v>
      </c>
    </row>
    <row r="12" spans="1:15" x14ac:dyDescent="0.4">
      <c r="B12" s="47" t="s">
        <v>102</v>
      </c>
      <c r="C12" s="59" t="s">
        <v>101</v>
      </c>
      <c r="D12" s="67">
        <f>O13/$O$14</f>
        <v>0.53103334433806537</v>
      </c>
      <c r="E12" s="66"/>
      <c r="F12" s="21" t="s">
        <v>100</v>
      </c>
      <c r="G12" s="15">
        <v>229</v>
      </c>
      <c r="H12" s="14">
        <v>325</v>
      </c>
      <c r="I12" s="14">
        <v>489</v>
      </c>
      <c r="J12" s="14">
        <v>454</v>
      </c>
      <c r="K12" s="14">
        <v>553</v>
      </c>
      <c r="L12" s="14">
        <v>597</v>
      </c>
      <c r="M12" s="20">
        <v>188</v>
      </c>
      <c r="N12" s="15">
        <v>6</v>
      </c>
      <c r="O12" s="14">
        <f>SUM(G12:N12)</f>
        <v>2841</v>
      </c>
    </row>
    <row r="13" spans="1:15" x14ac:dyDescent="0.4">
      <c r="B13" s="47" t="s">
        <v>99</v>
      </c>
      <c r="C13" s="59" t="s">
        <v>98</v>
      </c>
      <c r="D13" s="58"/>
      <c r="E13" s="65"/>
      <c r="F13" s="21" t="s">
        <v>97</v>
      </c>
      <c r="G13" s="15">
        <v>194</v>
      </c>
      <c r="H13" s="14">
        <v>373</v>
      </c>
      <c r="I13" s="14">
        <v>503</v>
      </c>
      <c r="J13" s="14">
        <v>453</v>
      </c>
      <c r="K13" s="14">
        <v>687</v>
      </c>
      <c r="L13" s="14">
        <v>789</v>
      </c>
      <c r="M13" s="20">
        <v>204</v>
      </c>
      <c r="N13" s="15">
        <v>14</v>
      </c>
      <c r="O13" s="14">
        <f>SUM(G13:N13)</f>
        <v>3217</v>
      </c>
    </row>
    <row r="14" spans="1:15" x14ac:dyDescent="0.4">
      <c r="C14" s="58"/>
      <c r="D14" s="58"/>
      <c r="E14" s="27"/>
      <c r="F14" s="23" t="s">
        <v>23</v>
      </c>
      <c r="G14" s="17">
        <f t="shared" ref="G14:O14" si="0">SUM(G12:G13)</f>
        <v>423</v>
      </c>
      <c r="H14" s="17">
        <f t="shared" si="0"/>
        <v>698</v>
      </c>
      <c r="I14" s="17">
        <f t="shared" si="0"/>
        <v>992</v>
      </c>
      <c r="J14" s="17">
        <f t="shared" si="0"/>
        <v>907</v>
      </c>
      <c r="K14" s="17">
        <f t="shared" si="0"/>
        <v>1240</v>
      </c>
      <c r="L14" s="17">
        <f t="shared" si="0"/>
        <v>1386</v>
      </c>
      <c r="M14" s="17">
        <f t="shared" si="0"/>
        <v>392</v>
      </c>
      <c r="N14" s="17">
        <f t="shared" si="0"/>
        <v>20</v>
      </c>
      <c r="O14" s="17">
        <f t="shared" si="0"/>
        <v>6058</v>
      </c>
    </row>
    <row r="15" spans="1:15" x14ac:dyDescent="0.4">
      <c r="B15" s="47" t="s">
        <v>96</v>
      </c>
      <c r="C15" s="59" t="s">
        <v>95</v>
      </c>
      <c r="D15" s="58"/>
      <c r="F15" s="64" t="s">
        <v>94</v>
      </c>
      <c r="G15" s="31">
        <f t="shared" ref="G15:N15" si="1">G14/$O$14</f>
        <v>6.9825024760647073E-2</v>
      </c>
      <c r="H15" s="31">
        <f t="shared" si="1"/>
        <v>0.11521954440409377</v>
      </c>
      <c r="I15" s="31">
        <f t="shared" si="1"/>
        <v>0.1637504126774513</v>
      </c>
      <c r="J15" s="31">
        <f t="shared" si="1"/>
        <v>0.14971937933311324</v>
      </c>
      <c r="K15" s="31">
        <f t="shared" si="1"/>
        <v>0.20468801584681412</v>
      </c>
      <c r="L15" s="31">
        <f t="shared" si="1"/>
        <v>0.22878837900297128</v>
      </c>
      <c r="M15" s="31">
        <f t="shared" si="1"/>
        <v>6.4707824364476724E-2</v>
      </c>
      <c r="N15" s="31">
        <f t="shared" si="1"/>
        <v>3.3014196104324861E-3</v>
      </c>
      <c r="O15" s="63"/>
    </row>
    <row r="16" spans="1:15" x14ac:dyDescent="0.4">
      <c r="B16" s="47" t="s">
        <v>93</v>
      </c>
      <c r="C16" s="59" t="s">
        <v>92</v>
      </c>
      <c r="D16" s="58"/>
      <c r="G16" s="62"/>
      <c r="H16" s="61"/>
      <c r="I16" s="61"/>
      <c r="J16" s="61"/>
      <c r="K16" s="61"/>
      <c r="L16" s="61"/>
      <c r="M16" s="61"/>
      <c r="N16" s="29"/>
    </row>
    <row r="17" spans="2:15" x14ac:dyDescent="0.4">
      <c r="B17" s="60" t="s">
        <v>91</v>
      </c>
      <c r="C17" s="59" t="s">
        <v>90</v>
      </c>
      <c r="D17" s="58"/>
      <c r="N17" s="27"/>
    </row>
    <row r="18" spans="2:15" x14ac:dyDescent="0.4">
      <c r="M18" s="27"/>
    </row>
    <row r="19" spans="2:15" x14ac:dyDescent="0.4">
      <c r="B19" s="9" t="s">
        <v>89</v>
      </c>
      <c r="O19" s="26" t="s">
        <v>32</v>
      </c>
    </row>
    <row r="20" spans="2:15" ht="9" customHeight="1" x14ac:dyDescent="0.4">
      <c r="O20" s="26"/>
    </row>
    <row r="21" spans="2:15" x14ac:dyDescent="0.4">
      <c r="F21" s="25"/>
      <c r="G21" s="23" t="s">
        <v>31</v>
      </c>
      <c r="H21" s="22" t="s">
        <v>30</v>
      </c>
      <c r="I21" s="22" t="s">
        <v>29</v>
      </c>
      <c r="J21" s="22" t="s">
        <v>28</v>
      </c>
      <c r="K21" s="22" t="s">
        <v>27</v>
      </c>
      <c r="L21" s="22" t="s">
        <v>26</v>
      </c>
      <c r="M21" s="24" t="s">
        <v>25</v>
      </c>
      <c r="N21" s="23" t="s">
        <v>24</v>
      </c>
      <c r="O21" s="22" t="s">
        <v>23</v>
      </c>
    </row>
    <row r="22" spans="2:15" x14ac:dyDescent="0.4">
      <c r="C22" s="9" t="s">
        <v>88</v>
      </c>
      <c r="F22" s="21">
        <v>1</v>
      </c>
      <c r="G22" s="15">
        <v>29</v>
      </c>
      <c r="H22" s="14">
        <v>99</v>
      </c>
      <c r="I22" s="14">
        <v>190</v>
      </c>
      <c r="J22" s="14">
        <v>240</v>
      </c>
      <c r="K22" s="14">
        <v>393</v>
      </c>
      <c r="L22" s="14">
        <v>479</v>
      </c>
      <c r="M22" s="20">
        <v>160</v>
      </c>
      <c r="N22" s="15">
        <v>4</v>
      </c>
      <c r="O22" s="14">
        <f>SUM(G22:N22)</f>
        <v>1594</v>
      </c>
    </row>
    <row r="23" spans="2:15" x14ac:dyDescent="0.4">
      <c r="C23" s="9" t="s">
        <v>87</v>
      </c>
      <c r="F23" s="21">
        <v>2</v>
      </c>
      <c r="G23" s="15">
        <v>62</v>
      </c>
      <c r="H23" s="14">
        <v>141</v>
      </c>
      <c r="I23" s="14">
        <v>205</v>
      </c>
      <c r="J23" s="14">
        <v>182</v>
      </c>
      <c r="K23" s="14">
        <v>186</v>
      </c>
      <c r="L23" s="14">
        <v>185</v>
      </c>
      <c r="M23" s="20">
        <v>41</v>
      </c>
      <c r="N23" s="15">
        <v>2</v>
      </c>
      <c r="O23" s="14">
        <f>SUM(G23:N23)</f>
        <v>1004</v>
      </c>
    </row>
    <row r="24" spans="2:15" x14ac:dyDescent="0.4">
      <c r="C24" s="9" t="s">
        <v>86</v>
      </c>
      <c r="F24" s="21">
        <v>3</v>
      </c>
      <c r="G24" s="15">
        <v>83</v>
      </c>
      <c r="H24" s="14">
        <v>165</v>
      </c>
      <c r="I24" s="14">
        <v>232</v>
      </c>
      <c r="J24" s="14">
        <v>149</v>
      </c>
      <c r="K24" s="14">
        <v>191</v>
      </c>
      <c r="L24" s="14">
        <v>155</v>
      </c>
      <c r="M24" s="20">
        <v>31</v>
      </c>
      <c r="N24" s="15">
        <v>2</v>
      </c>
      <c r="O24" s="14">
        <f>SUM(G24:N24)</f>
        <v>1008</v>
      </c>
    </row>
    <row r="25" spans="2:15" x14ac:dyDescent="0.4">
      <c r="C25" s="9" t="s">
        <v>85</v>
      </c>
      <c r="F25" s="19">
        <v>4</v>
      </c>
      <c r="G25" s="12">
        <v>249</v>
      </c>
      <c r="H25" s="17">
        <v>291</v>
      </c>
      <c r="I25" s="17">
        <v>365</v>
      </c>
      <c r="J25" s="17">
        <v>336</v>
      </c>
      <c r="K25" s="17">
        <v>462</v>
      </c>
      <c r="L25" s="17">
        <v>550</v>
      </c>
      <c r="M25" s="16">
        <v>145</v>
      </c>
      <c r="N25" s="15">
        <v>9</v>
      </c>
      <c r="O25" s="14">
        <f>SUM(G25:N25)</f>
        <v>2407</v>
      </c>
    </row>
    <row r="26" spans="2:15" x14ac:dyDescent="0.4">
      <c r="F26" s="18" t="s">
        <v>18</v>
      </c>
      <c r="G26" s="12">
        <v>0</v>
      </c>
      <c r="H26" s="17">
        <v>2</v>
      </c>
      <c r="I26" s="17">
        <v>0</v>
      </c>
      <c r="J26" s="17">
        <v>0</v>
      </c>
      <c r="K26" s="17">
        <v>8</v>
      </c>
      <c r="L26" s="17">
        <v>17</v>
      </c>
      <c r="M26" s="16">
        <v>15</v>
      </c>
      <c r="N26" s="15">
        <v>3</v>
      </c>
      <c r="O26" s="14">
        <f>SUM(G26:N26)</f>
        <v>45</v>
      </c>
    </row>
    <row r="27" spans="2:15" x14ac:dyDescent="0.4">
      <c r="B27" s="9" t="s">
        <v>54</v>
      </c>
      <c r="F27" s="13" t="s">
        <v>23</v>
      </c>
      <c r="G27" s="12">
        <f t="shared" ref="G27:O27" si="2">SUM(G22:G26)</f>
        <v>423</v>
      </c>
      <c r="H27" s="12">
        <f t="shared" si="2"/>
        <v>698</v>
      </c>
      <c r="I27" s="12">
        <f t="shared" si="2"/>
        <v>992</v>
      </c>
      <c r="J27" s="12">
        <f t="shared" si="2"/>
        <v>907</v>
      </c>
      <c r="K27" s="12">
        <f t="shared" si="2"/>
        <v>1240</v>
      </c>
      <c r="L27" s="12">
        <f t="shared" si="2"/>
        <v>1386</v>
      </c>
      <c r="M27" s="12">
        <f t="shared" si="2"/>
        <v>392</v>
      </c>
      <c r="N27" s="12">
        <f t="shared" si="2"/>
        <v>20</v>
      </c>
      <c r="O27" s="12">
        <f t="shared" si="2"/>
        <v>6058</v>
      </c>
    </row>
    <row r="28" spans="2:15" x14ac:dyDescent="0.4">
      <c r="B28" s="9" t="s">
        <v>84</v>
      </c>
    </row>
    <row r="29" spans="2:15" x14ac:dyDescent="0.4">
      <c r="D29" s="9" t="s">
        <v>83</v>
      </c>
      <c r="G29" s="47" t="s">
        <v>31</v>
      </c>
      <c r="H29" s="47" t="s">
        <v>30</v>
      </c>
      <c r="I29" s="47" t="s">
        <v>29</v>
      </c>
      <c r="J29" s="47" t="s">
        <v>28</v>
      </c>
      <c r="K29" s="47" t="s">
        <v>27</v>
      </c>
      <c r="L29" s="47" t="s">
        <v>26</v>
      </c>
      <c r="M29" s="47" t="s">
        <v>25</v>
      </c>
      <c r="N29" s="47" t="s">
        <v>63</v>
      </c>
    </row>
    <row r="30" spans="2:15" x14ac:dyDescent="0.4">
      <c r="B30" s="9" t="s">
        <v>82</v>
      </c>
      <c r="G30" s="46">
        <f t="shared" ref="G30:N30" si="3">SUM(G22:G24)/G27</f>
        <v>0.41134751773049644</v>
      </c>
      <c r="H30" s="46">
        <f t="shared" si="3"/>
        <v>0.58022922636103147</v>
      </c>
      <c r="I30" s="46">
        <f t="shared" si="3"/>
        <v>0.63205645161290325</v>
      </c>
      <c r="J30" s="46">
        <f t="shared" si="3"/>
        <v>0.62954796030871008</v>
      </c>
      <c r="K30" s="46">
        <f t="shared" si="3"/>
        <v>0.62096774193548387</v>
      </c>
      <c r="L30" s="46">
        <f t="shared" si="3"/>
        <v>0.59090909090909094</v>
      </c>
      <c r="M30" s="46">
        <f t="shared" si="3"/>
        <v>0.59183673469387754</v>
      </c>
      <c r="N30" s="46">
        <f t="shared" si="3"/>
        <v>0.4</v>
      </c>
    </row>
    <row r="31" spans="2:15" x14ac:dyDescent="0.4">
      <c r="D31" s="9" t="s">
        <v>81</v>
      </c>
    </row>
    <row r="33" spans="2:15" x14ac:dyDescent="0.4">
      <c r="B33" s="9" t="s">
        <v>80</v>
      </c>
      <c r="O33" s="26" t="s">
        <v>32</v>
      </c>
    </row>
    <row r="34" spans="2:15" ht="9" customHeight="1" x14ac:dyDescent="0.4">
      <c r="O34" s="26"/>
    </row>
    <row r="35" spans="2:15" x14ac:dyDescent="0.4">
      <c r="C35" s="9" t="s">
        <v>22</v>
      </c>
      <c r="D35" s="53"/>
      <c r="F35" s="25"/>
      <c r="G35" s="23" t="s">
        <v>31</v>
      </c>
      <c r="H35" s="22" t="s">
        <v>30</v>
      </c>
      <c r="I35" s="22" t="s">
        <v>29</v>
      </c>
      <c r="J35" s="22" t="s">
        <v>28</v>
      </c>
      <c r="K35" s="22" t="s">
        <v>27</v>
      </c>
      <c r="L35" s="22" t="s">
        <v>26</v>
      </c>
      <c r="M35" s="24" t="s">
        <v>25</v>
      </c>
      <c r="N35" s="23" t="s">
        <v>24</v>
      </c>
      <c r="O35" s="22" t="s">
        <v>23</v>
      </c>
    </row>
    <row r="36" spans="2:15" x14ac:dyDescent="0.4">
      <c r="C36" s="9" t="s">
        <v>75</v>
      </c>
      <c r="D36" s="10">
        <f>O36/$O$39</f>
        <v>0.33179267084846487</v>
      </c>
      <c r="F36" s="21">
        <v>1</v>
      </c>
      <c r="G36" s="15">
        <v>92</v>
      </c>
      <c r="H36" s="14">
        <v>217</v>
      </c>
      <c r="I36" s="14">
        <v>332</v>
      </c>
      <c r="J36" s="14">
        <v>303</v>
      </c>
      <c r="K36" s="14">
        <v>420</v>
      </c>
      <c r="L36" s="14">
        <v>498</v>
      </c>
      <c r="M36" s="20">
        <v>143</v>
      </c>
      <c r="N36" s="15">
        <v>5</v>
      </c>
      <c r="O36" s="14">
        <f>SUM(G36:N36)</f>
        <v>2010</v>
      </c>
    </row>
    <row r="37" spans="2:15" x14ac:dyDescent="0.4">
      <c r="C37" s="9" t="s">
        <v>74</v>
      </c>
      <c r="D37" s="10">
        <f>O37/$O$39</f>
        <v>0.65978870914493237</v>
      </c>
      <c r="F37" s="21">
        <v>2</v>
      </c>
      <c r="G37" s="15">
        <v>329</v>
      </c>
      <c r="H37" s="14">
        <v>478</v>
      </c>
      <c r="I37" s="14">
        <v>658</v>
      </c>
      <c r="J37" s="14">
        <v>603</v>
      </c>
      <c r="K37" s="14">
        <v>809</v>
      </c>
      <c r="L37" s="14">
        <v>865</v>
      </c>
      <c r="M37" s="20">
        <v>241</v>
      </c>
      <c r="N37" s="15">
        <v>14</v>
      </c>
      <c r="O37" s="14">
        <f>SUM(G37:N37)</f>
        <v>3997</v>
      </c>
    </row>
    <row r="38" spans="2:15" x14ac:dyDescent="0.4">
      <c r="C38" s="11" t="s">
        <v>18</v>
      </c>
      <c r="D38" s="10">
        <f>O38/$O$39</f>
        <v>8.4186200066028397E-3</v>
      </c>
      <c r="F38" s="18" t="s">
        <v>18</v>
      </c>
      <c r="G38" s="12">
        <v>2</v>
      </c>
      <c r="H38" s="17">
        <v>3</v>
      </c>
      <c r="I38" s="17">
        <v>2</v>
      </c>
      <c r="J38" s="17">
        <v>1</v>
      </c>
      <c r="K38" s="17">
        <v>11</v>
      </c>
      <c r="L38" s="17">
        <v>23</v>
      </c>
      <c r="M38" s="16">
        <v>8</v>
      </c>
      <c r="N38" s="15">
        <v>1</v>
      </c>
      <c r="O38" s="14">
        <f>SUM(G38:N38)</f>
        <v>51</v>
      </c>
    </row>
    <row r="39" spans="2:15" x14ac:dyDescent="0.4">
      <c r="F39" s="13" t="s">
        <v>23</v>
      </c>
      <c r="G39" s="12">
        <f t="shared" ref="G39:O39" si="4">SUM(G36:G38)</f>
        <v>423</v>
      </c>
      <c r="H39" s="12">
        <f t="shared" si="4"/>
        <v>698</v>
      </c>
      <c r="I39" s="12">
        <f t="shared" si="4"/>
        <v>992</v>
      </c>
      <c r="J39" s="12">
        <f t="shared" si="4"/>
        <v>907</v>
      </c>
      <c r="K39" s="12">
        <f t="shared" si="4"/>
        <v>1240</v>
      </c>
      <c r="L39" s="12">
        <f t="shared" si="4"/>
        <v>1386</v>
      </c>
      <c r="M39" s="12">
        <f t="shared" si="4"/>
        <v>392</v>
      </c>
      <c r="N39" s="12">
        <f t="shared" si="4"/>
        <v>20</v>
      </c>
      <c r="O39" s="12">
        <f t="shared" si="4"/>
        <v>6058</v>
      </c>
    </row>
    <row r="41" spans="2:15" x14ac:dyDescent="0.4">
      <c r="B41" s="9" t="s">
        <v>54</v>
      </c>
      <c r="G41" s="47" t="s">
        <v>31</v>
      </c>
      <c r="H41" s="47" t="s">
        <v>30</v>
      </c>
      <c r="I41" s="47" t="s">
        <v>29</v>
      </c>
      <c r="J41" s="47" t="s">
        <v>28</v>
      </c>
      <c r="K41" s="47" t="s">
        <v>27</v>
      </c>
      <c r="L41" s="47" t="s">
        <v>26</v>
      </c>
      <c r="M41" s="47" t="s">
        <v>25</v>
      </c>
      <c r="N41" s="47" t="s">
        <v>63</v>
      </c>
    </row>
    <row r="42" spans="2:15" x14ac:dyDescent="0.4">
      <c r="B42" s="9" t="s">
        <v>79</v>
      </c>
      <c r="G42" s="46">
        <f t="shared" ref="G42:N42" si="5">G36/G39</f>
        <v>0.21749408983451538</v>
      </c>
      <c r="H42" s="46">
        <f t="shared" si="5"/>
        <v>0.31088825214899712</v>
      </c>
      <c r="I42" s="46">
        <f t="shared" si="5"/>
        <v>0.33467741935483869</v>
      </c>
      <c r="J42" s="46">
        <f t="shared" si="5"/>
        <v>0.33406835722160971</v>
      </c>
      <c r="K42" s="46">
        <f t="shared" si="5"/>
        <v>0.33870967741935482</v>
      </c>
      <c r="L42" s="46">
        <f t="shared" si="5"/>
        <v>0.3593073593073593</v>
      </c>
      <c r="M42" s="46">
        <f t="shared" si="5"/>
        <v>0.36479591836734693</v>
      </c>
      <c r="N42" s="46">
        <f t="shared" si="5"/>
        <v>0.25</v>
      </c>
    </row>
    <row r="43" spans="2:15" x14ac:dyDescent="0.4">
      <c r="D43" s="9" t="s">
        <v>78</v>
      </c>
    </row>
    <row r="45" spans="2:15" x14ac:dyDescent="0.4">
      <c r="B45" s="9" t="s">
        <v>77</v>
      </c>
      <c r="O45" s="26" t="s">
        <v>32</v>
      </c>
    </row>
    <row r="46" spans="2:15" ht="9" customHeight="1" x14ac:dyDescent="0.4">
      <c r="O46" s="26"/>
    </row>
    <row r="47" spans="2:15" x14ac:dyDescent="0.4">
      <c r="B47" s="28"/>
      <c r="C47" s="9" t="s">
        <v>22</v>
      </c>
      <c r="D47" s="53"/>
      <c r="F47" s="25"/>
      <c r="G47" s="23" t="s">
        <v>31</v>
      </c>
      <c r="H47" s="22" t="s">
        <v>30</v>
      </c>
      <c r="I47" s="22" t="s">
        <v>29</v>
      </c>
      <c r="J47" s="22" t="s">
        <v>28</v>
      </c>
      <c r="K47" s="22" t="s">
        <v>27</v>
      </c>
      <c r="L47" s="22" t="s">
        <v>26</v>
      </c>
      <c r="M47" s="24" t="s">
        <v>25</v>
      </c>
      <c r="N47" s="23" t="s">
        <v>24</v>
      </c>
      <c r="O47" s="22" t="s">
        <v>23</v>
      </c>
    </row>
    <row r="48" spans="2:15" x14ac:dyDescent="0.4">
      <c r="C48" s="9" t="s">
        <v>75</v>
      </c>
      <c r="D48" s="10">
        <f>O48/$O$51</f>
        <v>0.15681743149554309</v>
      </c>
      <c r="F48" s="21">
        <v>1</v>
      </c>
      <c r="G48" s="15">
        <v>108</v>
      </c>
      <c r="H48" s="14">
        <v>156</v>
      </c>
      <c r="I48" s="14">
        <v>198</v>
      </c>
      <c r="J48" s="14">
        <v>166</v>
      </c>
      <c r="K48" s="14">
        <v>173</v>
      </c>
      <c r="L48" s="14">
        <v>119</v>
      </c>
      <c r="M48" s="20">
        <v>29</v>
      </c>
      <c r="N48" s="15">
        <v>1</v>
      </c>
      <c r="O48" s="14">
        <f>SUM(G48:N48)</f>
        <v>950</v>
      </c>
    </row>
    <row r="49" spans="2:15" x14ac:dyDescent="0.4">
      <c r="C49" s="9" t="s">
        <v>74</v>
      </c>
      <c r="D49" s="10">
        <f>O49/$O$51</f>
        <v>0.81644106965995378</v>
      </c>
      <c r="F49" s="21">
        <v>2</v>
      </c>
      <c r="G49" s="15">
        <v>315</v>
      </c>
      <c r="H49" s="14">
        <v>538</v>
      </c>
      <c r="I49" s="14">
        <v>783</v>
      </c>
      <c r="J49" s="14">
        <v>733</v>
      </c>
      <c r="K49" s="14">
        <v>1032</v>
      </c>
      <c r="L49" s="14">
        <v>1195</v>
      </c>
      <c r="M49" s="20">
        <v>333</v>
      </c>
      <c r="N49" s="15">
        <v>17</v>
      </c>
      <c r="O49" s="14">
        <f>SUM(G49:N49)</f>
        <v>4946</v>
      </c>
    </row>
    <row r="50" spans="2:15" x14ac:dyDescent="0.4">
      <c r="C50" s="11" t="s">
        <v>18</v>
      </c>
      <c r="D50" s="10">
        <f>O50/$O$51</f>
        <v>2.6741498844503137E-2</v>
      </c>
      <c r="F50" s="18" t="s">
        <v>18</v>
      </c>
      <c r="G50" s="12">
        <v>0</v>
      </c>
      <c r="H50" s="17">
        <v>4</v>
      </c>
      <c r="I50" s="17">
        <v>11</v>
      </c>
      <c r="J50" s="17">
        <v>8</v>
      </c>
      <c r="K50" s="17">
        <v>35</v>
      </c>
      <c r="L50" s="17">
        <v>72</v>
      </c>
      <c r="M50" s="16">
        <v>30</v>
      </c>
      <c r="N50" s="15">
        <v>2</v>
      </c>
      <c r="O50" s="14">
        <f>SUM(G50:N50)</f>
        <v>162</v>
      </c>
    </row>
    <row r="51" spans="2:15" x14ac:dyDescent="0.4">
      <c r="F51" s="13" t="s">
        <v>23</v>
      </c>
      <c r="G51" s="12">
        <f t="shared" ref="G51:O51" si="6">SUM(G48:G50)</f>
        <v>423</v>
      </c>
      <c r="H51" s="12">
        <f t="shared" si="6"/>
        <v>698</v>
      </c>
      <c r="I51" s="12">
        <f t="shared" si="6"/>
        <v>992</v>
      </c>
      <c r="J51" s="12">
        <f t="shared" si="6"/>
        <v>907</v>
      </c>
      <c r="K51" s="12">
        <f t="shared" si="6"/>
        <v>1240</v>
      </c>
      <c r="L51" s="12">
        <f t="shared" si="6"/>
        <v>1386</v>
      </c>
      <c r="M51" s="12">
        <f t="shared" si="6"/>
        <v>392</v>
      </c>
      <c r="N51" s="12">
        <f t="shared" si="6"/>
        <v>20</v>
      </c>
      <c r="O51" s="12">
        <f t="shared" si="6"/>
        <v>6058</v>
      </c>
    </row>
    <row r="53" spans="2:15" x14ac:dyDescent="0.4">
      <c r="G53" s="47" t="s">
        <v>31</v>
      </c>
      <c r="H53" s="47" t="s">
        <v>30</v>
      </c>
      <c r="I53" s="47" t="s">
        <v>29</v>
      </c>
      <c r="J53" s="47" t="s">
        <v>28</v>
      </c>
      <c r="K53" s="47" t="s">
        <v>27</v>
      </c>
      <c r="L53" s="47" t="s">
        <v>26</v>
      </c>
      <c r="M53" s="47" t="s">
        <v>25</v>
      </c>
      <c r="N53" s="47" t="s">
        <v>63</v>
      </c>
    </row>
    <row r="54" spans="2:15" x14ac:dyDescent="0.4">
      <c r="G54" s="46">
        <f t="shared" ref="G54:N54" si="7">G48/G51</f>
        <v>0.25531914893617019</v>
      </c>
      <c r="H54" s="46">
        <f t="shared" si="7"/>
        <v>0.22349570200573066</v>
      </c>
      <c r="I54" s="46">
        <f t="shared" si="7"/>
        <v>0.19959677419354838</v>
      </c>
      <c r="J54" s="46">
        <f t="shared" si="7"/>
        <v>0.18302094818081588</v>
      </c>
      <c r="K54" s="46">
        <f t="shared" si="7"/>
        <v>0.13951612903225807</v>
      </c>
      <c r="L54" s="46">
        <f t="shared" si="7"/>
        <v>8.5858585858585856E-2</v>
      </c>
      <c r="M54" s="46">
        <f t="shared" si="7"/>
        <v>7.3979591836734693E-2</v>
      </c>
      <c r="N54" s="46">
        <f t="shared" si="7"/>
        <v>0.05</v>
      </c>
    </row>
    <row r="56" spans="2:15" x14ac:dyDescent="0.4">
      <c r="B56" s="9" t="s">
        <v>76</v>
      </c>
      <c r="O56" s="26" t="s">
        <v>32</v>
      </c>
    </row>
    <row r="57" spans="2:15" ht="9" customHeight="1" x14ac:dyDescent="0.4">
      <c r="O57" s="26"/>
    </row>
    <row r="58" spans="2:15" x14ac:dyDescent="0.4">
      <c r="B58" s="28"/>
      <c r="C58" s="9" t="s">
        <v>22</v>
      </c>
      <c r="D58" s="53"/>
      <c r="F58" s="25"/>
      <c r="G58" s="23" t="s">
        <v>31</v>
      </c>
      <c r="H58" s="22" t="s">
        <v>30</v>
      </c>
      <c r="I58" s="22" t="s">
        <v>29</v>
      </c>
      <c r="J58" s="22" t="s">
        <v>28</v>
      </c>
      <c r="K58" s="22" t="s">
        <v>27</v>
      </c>
      <c r="L58" s="22" t="s">
        <v>26</v>
      </c>
      <c r="M58" s="24" t="s">
        <v>25</v>
      </c>
      <c r="N58" s="23" t="s">
        <v>24</v>
      </c>
      <c r="O58" s="22" t="s">
        <v>23</v>
      </c>
    </row>
    <row r="59" spans="2:15" x14ac:dyDescent="0.4">
      <c r="C59" s="9" t="s">
        <v>75</v>
      </c>
      <c r="D59" s="10">
        <f>O59/$O$62</f>
        <v>5.5959062396830635E-2</v>
      </c>
      <c r="F59" s="21">
        <v>1</v>
      </c>
      <c r="G59" s="15">
        <v>19</v>
      </c>
      <c r="H59" s="14">
        <v>29</v>
      </c>
      <c r="I59" s="14">
        <v>59</v>
      </c>
      <c r="J59" s="14">
        <v>69</v>
      </c>
      <c r="K59" s="14">
        <v>90</v>
      </c>
      <c r="L59" s="14">
        <v>61</v>
      </c>
      <c r="M59" s="20">
        <v>12</v>
      </c>
      <c r="N59" s="15">
        <v>0</v>
      </c>
      <c r="O59" s="14">
        <f>SUM(G59:N59)</f>
        <v>339</v>
      </c>
    </row>
    <row r="60" spans="2:15" x14ac:dyDescent="0.4">
      <c r="C60" s="9" t="s">
        <v>74</v>
      </c>
      <c r="D60" s="10">
        <f>O60/$O$62</f>
        <v>0.89600528227137666</v>
      </c>
      <c r="F60" s="21">
        <v>2</v>
      </c>
      <c r="G60" s="15">
        <v>399</v>
      </c>
      <c r="H60" s="14">
        <v>650</v>
      </c>
      <c r="I60" s="14">
        <v>902</v>
      </c>
      <c r="J60" s="14">
        <v>812</v>
      </c>
      <c r="K60" s="14">
        <v>1087</v>
      </c>
      <c r="L60" s="14">
        <v>1220</v>
      </c>
      <c r="M60" s="20">
        <v>340</v>
      </c>
      <c r="N60" s="15">
        <v>18</v>
      </c>
      <c r="O60" s="14">
        <f>SUM(G60:N60)</f>
        <v>5428</v>
      </c>
    </row>
    <row r="61" spans="2:15" x14ac:dyDescent="0.4">
      <c r="C61" s="11" t="s">
        <v>18</v>
      </c>
      <c r="D61" s="10">
        <f>O61/$O$62</f>
        <v>4.8035655331792673E-2</v>
      </c>
      <c r="F61" s="18" t="s">
        <v>18</v>
      </c>
      <c r="G61" s="12">
        <v>5</v>
      </c>
      <c r="H61" s="17">
        <v>19</v>
      </c>
      <c r="I61" s="17">
        <v>31</v>
      </c>
      <c r="J61" s="17">
        <v>26</v>
      </c>
      <c r="K61" s="17">
        <v>63</v>
      </c>
      <c r="L61" s="17">
        <v>105</v>
      </c>
      <c r="M61" s="16">
        <v>40</v>
      </c>
      <c r="N61" s="15">
        <v>2</v>
      </c>
      <c r="O61" s="14">
        <f>SUM(G61:N61)</f>
        <v>291</v>
      </c>
    </row>
    <row r="62" spans="2:15" x14ac:dyDescent="0.4">
      <c r="F62" s="13" t="s">
        <v>23</v>
      </c>
      <c r="G62" s="12">
        <f t="shared" ref="G62:O62" si="8">SUM(G59:G61)</f>
        <v>423</v>
      </c>
      <c r="H62" s="12">
        <f t="shared" si="8"/>
        <v>698</v>
      </c>
      <c r="I62" s="12">
        <f t="shared" si="8"/>
        <v>992</v>
      </c>
      <c r="J62" s="12">
        <f t="shared" si="8"/>
        <v>907</v>
      </c>
      <c r="K62" s="12">
        <f t="shared" si="8"/>
        <v>1240</v>
      </c>
      <c r="L62" s="12">
        <f t="shared" si="8"/>
        <v>1386</v>
      </c>
      <c r="M62" s="12">
        <f t="shared" si="8"/>
        <v>392</v>
      </c>
      <c r="N62" s="12">
        <f t="shared" si="8"/>
        <v>20</v>
      </c>
      <c r="O62" s="12">
        <f t="shared" si="8"/>
        <v>6058</v>
      </c>
    </row>
    <row r="64" spans="2:15" x14ac:dyDescent="0.4">
      <c r="G64" s="47" t="s">
        <v>31</v>
      </c>
      <c r="H64" s="47" t="s">
        <v>30</v>
      </c>
      <c r="I64" s="47" t="s">
        <v>29</v>
      </c>
      <c r="J64" s="47" t="s">
        <v>28</v>
      </c>
      <c r="K64" s="47" t="s">
        <v>27</v>
      </c>
      <c r="L64" s="47" t="s">
        <v>26</v>
      </c>
      <c r="M64" s="47" t="s">
        <v>25</v>
      </c>
      <c r="N64" s="47" t="s">
        <v>63</v>
      </c>
    </row>
    <row r="65" spans="2:15" x14ac:dyDescent="0.4">
      <c r="B65" s="9" t="s">
        <v>54</v>
      </c>
      <c r="G65" s="46">
        <f t="shared" ref="G65:N65" si="9">G59/G62</f>
        <v>4.4917257683215132E-2</v>
      </c>
      <c r="H65" s="46">
        <f t="shared" si="9"/>
        <v>4.1547277936962751E-2</v>
      </c>
      <c r="I65" s="46">
        <f t="shared" si="9"/>
        <v>5.9475806451612906E-2</v>
      </c>
      <c r="J65" s="46">
        <f t="shared" si="9"/>
        <v>7.6074972436604188E-2</v>
      </c>
      <c r="K65" s="46">
        <f t="shared" si="9"/>
        <v>7.2580645161290328E-2</v>
      </c>
      <c r="L65" s="46">
        <f t="shared" si="9"/>
        <v>4.4011544011544008E-2</v>
      </c>
      <c r="M65" s="46">
        <f t="shared" si="9"/>
        <v>3.0612244897959183E-2</v>
      </c>
      <c r="N65" s="46">
        <f t="shared" si="9"/>
        <v>0</v>
      </c>
    </row>
    <row r="66" spans="2:15" ht="13.5" customHeight="1" x14ac:dyDescent="0.4">
      <c r="B66" s="9" t="s">
        <v>73</v>
      </c>
    </row>
    <row r="67" spans="2:15" x14ac:dyDescent="0.4">
      <c r="D67" s="9" t="s">
        <v>72</v>
      </c>
    </row>
    <row r="68" spans="2:15" x14ac:dyDescent="0.4">
      <c r="C68" s="9" t="s">
        <v>71</v>
      </c>
    </row>
    <row r="69" spans="2:15" x14ac:dyDescent="0.4">
      <c r="G69" s="47" t="s">
        <v>31</v>
      </c>
      <c r="H69" s="47" t="s">
        <v>30</v>
      </c>
      <c r="I69" s="47" t="s">
        <v>29</v>
      </c>
      <c r="J69" s="47" t="s">
        <v>28</v>
      </c>
      <c r="K69" s="47" t="s">
        <v>27</v>
      </c>
      <c r="L69" s="47" t="s">
        <v>26</v>
      </c>
      <c r="M69" s="47" t="s">
        <v>25</v>
      </c>
      <c r="N69" s="47" t="s">
        <v>63</v>
      </c>
      <c r="O69" s="47" t="s">
        <v>70</v>
      </c>
    </row>
    <row r="70" spans="2:15" x14ac:dyDescent="0.4">
      <c r="F70" s="57" t="s">
        <v>58</v>
      </c>
      <c r="G70" s="9">
        <v>422</v>
      </c>
      <c r="H70" s="9">
        <v>691</v>
      </c>
      <c r="I70" s="9">
        <v>973</v>
      </c>
      <c r="J70" s="9">
        <v>898</v>
      </c>
      <c r="K70" s="9">
        <v>1203</v>
      </c>
      <c r="L70" s="9">
        <v>1300</v>
      </c>
      <c r="M70" s="9">
        <v>355</v>
      </c>
      <c r="N70" s="9">
        <v>18</v>
      </c>
      <c r="O70" s="9">
        <f>SUM(G70:N70)</f>
        <v>5860</v>
      </c>
    </row>
    <row r="71" spans="2:15" x14ac:dyDescent="0.4">
      <c r="F71" s="56" t="s">
        <v>69</v>
      </c>
      <c r="G71" s="9">
        <v>114</v>
      </c>
      <c r="H71" s="9">
        <v>169</v>
      </c>
      <c r="I71" s="9">
        <v>225</v>
      </c>
      <c r="J71" s="9">
        <v>195</v>
      </c>
      <c r="K71" s="9">
        <v>231</v>
      </c>
      <c r="L71" s="9">
        <v>164</v>
      </c>
      <c r="M71" s="9">
        <v>39</v>
      </c>
      <c r="N71" s="9">
        <v>1</v>
      </c>
      <c r="O71" s="9">
        <f>SUM(G71:N71)</f>
        <v>1138</v>
      </c>
    </row>
    <row r="72" spans="2:15" x14ac:dyDescent="0.4">
      <c r="F72" s="55" t="s">
        <v>68</v>
      </c>
      <c r="G72" s="54">
        <f t="shared" ref="G72:O72" si="10">G71/G70</f>
        <v>0.27014218009478674</v>
      </c>
      <c r="H72" s="54">
        <f t="shared" si="10"/>
        <v>0.24457308248914617</v>
      </c>
      <c r="I72" s="54">
        <f t="shared" si="10"/>
        <v>0.23124357656731759</v>
      </c>
      <c r="J72" s="54">
        <f t="shared" si="10"/>
        <v>0.21714922048997773</v>
      </c>
      <c r="K72" s="54">
        <f t="shared" si="10"/>
        <v>0.19201995012468828</v>
      </c>
      <c r="L72" s="54">
        <f t="shared" si="10"/>
        <v>0.12615384615384614</v>
      </c>
      <c r="M72" s="54">
        <f t="shared" si="10"/>
        <v>0.10985915492957747</v>
      </c>
      <c r="N72" s="54">
        <f t="shared" si="10"/>
        <v>5.5555555555555552E-2</v>
      </c>
      <c r="O72" s="54">
        <f t="shared" si="10"/>
        <v>0.19419795221843003</v>
      </c>
    </row>
    <row r="74" spans="2:15" x14ac:dyDescent="0.4">
      <c r="B74" s="9" t="s">
        <v>67</v>
      </c>
      <c r="O74" s="26" t="s">
        <v>32</v>
      </c>
    </row>
    <row r="75" spans="2:15" ht="9" customHeight="1" x14ac:dyDescent="0.4">
      <c r="O75" s="26"/>
    </row>
    <row r="76" spans="2:15" x14ac:dyDescent="0.4">
      <c r="B76" s="28"/>
      <c r="D76" s="53"/>
      <c r="F76" s="25"/>
      <c r="G76" s="23" t="s">
        <v>31</v>
      </c>
      <c r="H76" s="22" t="s">
        <v>30</v>
      </c>
      <c r="I76" s="22" t="s">
        <v>29</v>
      </c>
      <c r="J76" s="22" t="s">
        <v>28</v>
      </c>
      <c r="K76" s="22" t="s">
        <v>27</v>
      </c>
      <c r="L76" s="22" t="s">
        <v>26</v>
      </c>
      <c r="M76" s="24" t="s">
        <v>25</v>
      </c>
      <c r="N76" s="23" t="s">
        <v>24</v>
      </c>
      <c r="O76" s="22" t="s">
        <v>23</v>
      </c>
    </row>
    <row r="77" spans="2:15" x14ac:dyDescent="0.4">
      <c r="C77" s="51" t="s">
        <v>66</v>
      </c>
      <c r="D77" s="10"/>
      <c r="F77" s="21">
        <v>1</v>
      </c>
      <c r="G77" s="15">
        <v>383</v>
      </c>
      <c r="H77" s="14">
        <v>620</v>
      </c>
      <c r="I77" s="14">
        <v>828</v>
      </c>
      <c r="J77" s="14">
        <v>691</v>
      </c>
      <c r="K77" s="14">
        <v>875</v>
      </c>
      <c r="L77" s="14">
        <v>980</v>
      </c>
      <c r="M77" s="20">
        <v>273</v>
      </c>
      <c r="N77" s="15">
        <v>13</v>
      </c>
      <c r="O77" s="14">
        <f>SUM(G77:N77)</f>
        <v>4663</v>
      </c>
    </row>
    <row r="78" spans="2:15" x14ac:dyDescent="0.4">
      <c r="C78" s="50" t="s">
        <v>65</v>
      </c>
      <c r="D78" s="10"/>
      <c r="F78" s="21">
        <v>2</v>
      </c>
      <c r="G78" s="15">
        <v>39</v>
      </c>
      <c r="H78" s="14">
        <v>76</v>
      </c>
      <c r="I78" s="14">
        <v>153</v>
      </c>
      <c r="J78" s="14">
        <v>201</v>
      </c>
      <c r="K78" s="14">
        <v>344</v>
      </c>
      <c r="L78" s="14">
        <v>364</v>
      </c>
      <c r="M78" s="20">
        <v>97</v>
      </c>
      <c r="N78" s="15">
        <v>5</v>
      </c>
      <c r="O78" s="14">
        <f>SUM(G78:N78)</f>
        <v>1279</v>
      </c>
    </row>
    <row r="79" spans="2:15" x14ac:dyDescent="0.4">
      <c r="C79" s="50" t="s">
        <v>64</v>
      </c>
      <c r="D79" s="10"/>
      <c r="F79" s="19">
        <v>3</v>
      </c>
      <c r="G79" s="12">
        <v>1</v>
      </c>
      <c r="H79" s="17">
        <v>0</v>
      </c>
      <c r="I79" s="17">
        <v>2</v>
      </c>
      <c r="J79" s="17">
        <v>6</v>
      </c>
      <c r="K79" s="17">
        <v>10</v>
      </c>
      <c r="L79" s="17">
        <v>13</v>
      </c>
      <c r="M79" s="16">
        <v>9</v>
      </c>
      <c r="N79" s="15">
        <v>1</v>
      </c>
      <c r="O79" s="14">
        <f>SUM(G79:N79)</f>
        <v>42</v>
      </c>
    </row>
    <row r="80" spans="2:15" x14ac:dyDescent="0.4">
      <c r="C80" s="11" t="s">
        <v>18</v>
      </c>
      <c r="D80" s="10"/>
      <c r="F80" s="18" t="s">
        <v>18</v>
      </c>
      <c r="G80" s="12">
        <v>0</v>
      </c>
      <c r="H80" s="17">
        <v>2</v>
      </c>
      <c r="I80" s="17">
        <v>9</v>
      </c>
      <c r="J80" s="17">
        <v>9</v>
      </c>
      <c r="K80" s="17">
        <v>11</v>
      </c>
      <c r="L80" s="17">
        <v>29</v>
      </c>
      <c r="M80" s="16">
        <v>13</v>
      </c>
      <c r="N80" s="15">
        <v>1</v>
      </c>
      <c r="O80" s="14">
        <f>SUM(G80:N80)</f>
        <v>74</v>
      </c>
    </row>
    <row r="81" spans="2:15" x14ac:dyDescent="0.4">
      <c r="D81" s="34"/>
      <c r="F81" s="13" t="s">
        <v>23</v>
      </c>
      <c r="G81" s="12">
        <f t="shared" ref="G81:O81" si="11">SUM(G77:G80)</f>
        <v>423</v>
      </c>
      <c r="H81" s="12">
        <f t="shared" si="11"/>
        <v>698</v>
      </c>
      <c r="I81" s="12">
        <f t="shared" si="11"/>
        <v>992</v>
      </c>
      <c r="J81" s="12">
        <f t="shared" si="11"/>
        <v>907</v>
      </c>
      <c r="K81" s="12">
        <f t="shared" si="11"/>
        <v>1240</v>
      </c>
      <c r="L81" s="12">
        <f t="shared" si="11"/>
        <v>1386</v>
      </c>
      <c r="M81" s="12">
        <f t="shared" si="11"/>
        <v>392</v>
      </c>
      <c r="N81" s="12">
        <f t="shared" si="11"/>
        <v>20</v>
      </c>
      <c r="O81" s="12">
        <f t="shared" si="11"/>
        <v>6058</v>
      </c>
    </row>
    <row r="82" spans="2:15" x14ac:dyDescent="0.4">
      <c r="C82" s="28" t="s">
        <v>22</v>
      </c>
      <c r="D82" s="34"/>
      <c r="F82" s="52"/>
      <c r="G82" s="48"/>
      <c r="H82" s="48"/>
      <c r="I82" s="48"/>
      <c r="J82" s="48"/>
      <c r="K82" s="48"/>
      <c r="L82" s="48"/>
      <c r="M82" s="48"/>
      <c r="N82" s="48"/>
      <c r="O82" s="48"/>
    </row>
    <row r="83" spans="2:15" x14ac:dyDescent="0.4">
      <c r="C83" s="51" t="s">
        <v>66</v>
      </c>
      <c r="D83" s="34"/>
      <c r="F83" s="49">
        <f>O77/$O$81</f>
        <v>0.76972598217233412</v>
      </c>
      <c r="G83" s="48"/>
      <c r="H83" s="48"/>
      <c r="I83" s="48"/>
      <c r="J83" s="48"/>
      <c r="K83" s="48"/>
      <c r="L83" s="48"/>
      <c r="M83" s="48"/>
      <c r="N83" s="48"/>
      <c r="O83" s="48"/>
    </row>
    <row r="84" spans="2:15" x14ac:dyDescent="0.4">
      <c r="C84" s="50" t="s">
        <v>65</v>
      </c>
      <c r="D84" s="34"/>
      <c r="F84" s="49">
        <f>O78/$O$81</f>
        <v>0.21112578408715749</v>
      </c>
      <c r="G84" s="48"/>
      <c r="H84" s="48"/>
      <c r="I84" s="48"/>
      <c r="J84" s="48"/>
      <c r="K84" s="48"/>
      <c r="L84" s="48"/>
      <c r="M84" s="48"/>
      <c r="N84" s="48"/>
      <c r="O84" s="48"/>
    </row>
    <row r="85" spans="2:15" x14ac:dyDescent="0.4">
      <c r="C85" s="50" t="s">
        <v>64</v>
      </c>
      <c r="D85" s="34"/>
      <c r="F85" s="49">
        <f>O79/$O$81</f>
        <v>6.9329811819082206E-3</v>
      </c>
      <c r="G85" s="48"/>
      <c r="H85" s="48"/>
      <c r="I85" s="48"/>
      <c r="J85" s="48"/>
      <c r="K85" s="48"/>
      <c r="L85" s="48"/>
      <c r="M85" s="48"/>
      <c r="N85" s="48"/>
      <c r="O85" s="48"/>
    </row>
    <row r="86" spans="2:15" x14ac:dyDescent="0.4">
      <c r="C86" s="11" t="s">
        <v>18</v>
      </c>
      <c r="D86" s="34"/>
      <c r="F86" s="49">
        <f>O80/$O$81</f>
        <v>1.2215252558600198E-2</v>
      </c>
      <c r="G86" s="48"/>
      <c r="H86" s="48"/>
      <c r="I86" s="48"/>
      <c r="J86" s="48"/>
      <c r="K86" s="48"/>
      <c r="L86" s="48"/>
      <c r="M86" s="48"/>
      <c r="N86" s="48"/>
      <c r="O86" s="48"/>
    </row>
    <row r="88" spans="2:15" x14ac:dyDescent="0.4">
      <c r="B88" s="9" t="s">
        <v>54</v>
      </c>
      <c r="G88" s="47" t="s">
        <v>31</v>
      </c>
      <c r="H88" s="47" t="s">
        <v>30</v>
      </c>
      <c r="I88" s="47" t="s">
        <v>29</v>
      </c>
      <c r="J88" s="47" t="s">
        <v>28</v>
      </c>
      <c r="K88" s="47" t="s">
        <v>27</v>
      </c>
      <c r="L88" s="47" t="s">
        <v>26</v>
      </c>
      <c r="M88" s="47" t="s">
        <v>25</v>
      </c>
      <c r="N88" s="47" t="s">
        <v>63</v>
      </c>
    </row>
    <row r="89" spans="2:15" x14ac:dyDescent="0.4">
      <c r="B89" s="9" t="s">
        <v>62</v>
      </c>
      <c r="G89" s="46">
        <f t="shared" ref="G89:N89" si="12">G77/G81</f>
        <v>0.90543735224586286</v>
      </c>
      <c r="H89" s="46">
        <f t="shared" si="12"/>
        <v>0.88825214899713467</v>
      </c>
      <c r="I89" s="46">
        <f t="shared" si="12"/>
        <v>0.83467741935483875</v>
      </c>
      <c r="J89" s="46">
        <f t="shared" si="12"/>
        <v>0.76185226019845642</v>
      </c>
      <c r="K89" s="46">
        <f t="shared" si="12"/>
        <v>0.70564516129032262</v>
      </c>
      <c r="L89" s="46">
        <f t="shared" si="12"/>
        <v>0.70707070707070707</v>
      </c>
      <c r="M89" s="46">
        <f t="shared" si="12"/>
        <v>0.6964285714285714</v>
      </c>
      <c r="N89" s="46">
        <f t="shared" si="12"/>
        <v>0.65</v>
      </c>
    </row>
    <row r="90" spans="2:15" x14ac:dyDescent="0.4">
      <c r="D90" s="9" t="s">
        <v>61</v>
      </c>
    </row>
    <row r="92" spans="2:15" ht="14.25" customHeight="1" x14ac:dyDescent="0.4">
      <c r="B92" s="9" t="s">
        <v>60</v>
      </c>
      <c r="O92" s="26" t="s">
        <v>59</v>
      </c>
    </row>
    <row r="93" spans="2:15" ht="9" customHeight="1" x14ac:dyDescent="0.4"/>
    <row r="94" spans="2:15" ht="14.25" customHeight="1" x14ac:dyDescent="0.4">
      <c r="F94" s="25"/>
      <c r="G94" s="23" t="s">
        <v>31</v>
      </c>
      <c r="H94" s="22" t="s">
        <v>30</v>
      </c>
      <c r="I94" s="22" t="s">
        <v>29</v>
      </c>
      <c r="J94" s="22" t="s">
        <v>28</v>
      </c>
      <c r="K94" s="22" t="s">
        <v>27</v>
      </c>
      <c r="L94" s="22" t="s">
        <v>26</v>
      </c>
      <c r="M94" s="24" t="s">
        <v>25</v>
      </c>
      <c r="N94" s="23" t="s">
        <v>24</v>
      </c>
      <c r="O94" s="22" t="s">
        <v>23</v>
      </c>
    </row>
    <row r="95" spans="2:15" x14ac:dyDescent="0.4">
      <c r="F95" s="45" t="s">
        <v>58</v>
      </c>
      <c r="G95" s="15">
        <v>379</v>
      </c>
      <c r="H95" s="14">
        <v>630</v>
      </c>
      <c r="I95" s="14">
        <v>837</v>
      </c>
      <c r="J95" s="14">
        <v>763</v>
      </c>
      <c r="K95" s="14">
        <v>1050</v>
      </c>
      <c r="L95" s="14">
        <v>1225</v>
      </c>
      <c r="M95" s="20">
        <v>335</v>
      </c>
      <c r="N95" s="15">
        <v>18</v>
      </c>
      <c r="O95" s="14">
        <f>SUM(G95:N95)</f>
        <v>5237</v>
      </c>
    </row>
    <row r="96" spans="2:15" x14ac:dyDescent="0.4">
      <c r="F96" s="18" t="s">
        <v>18</v>
      </c>
      <c r="G96" s="15">
        <v>44</v>
      </c>
      <c r="H96" s="14">
        <v>68</v>
      </c>
      <c r="I96" s="14">
        <v>155</v>
      </c>
      <c r="J96" s="14">
        <v>144</v>
      </c>
      <c r="K96" s="14">
        <v>190</v>
      </c>
      <c r="L96" s="14">
        <v>161</v>
      </c>
      <c r="M96" s="20">
        <v>57</v>
      </c>
      <c r="N96" s="15">
        <v>2</v>
      </c>
      <c r="O96" s="14">
        <f>SUM(G96:N96)</f>
        <v>821</v>
      </c>
    </row>
    <row r="97" spans="2:15" x14ac:dyDescent="0.4">
      <c r="F97" s="13" t="s">
        <v>23</v>
      </c>
      <c r="G97" s="12">
        <f t="shared" ref="G97:N97" si="13">SUM(G95:G96)</f>
        <v>423</v>
      </c>
      <c r="H97" s="12">
        <f t="shared" si="13"/>
        <v>698</v>
      </c>
      <c r="I97" s="12">
        <f t="shared" si="13"/>
        <v>992</v>
      </c>
      <c r="J97" s="12">
        <f t="shared" si="13"/>
        <v>907</v>
      </c>
      <c r="K97" s="12">
        <f t="shared" si="13"/>
        <v>1240</v>
      </c>
      <c r="L97" s="12">
        <f t="shared" si="13"/>
        <v>1386</v>
      </c>
      <c r="M97" s="12">
        <f t="shared" si="13"/>
        <v>392</v>
      </c>
      <c r="N97" s="12">
        <f t="shared" si="13"/>
        <v>20</v>
      </c>
      <c r="O97" s="14">
        <f>SUM(G97:N97)</f>
        <v>6058</v>
      </c>
    </row>
    <row r="98" spans="2:15" x14ac:dyDescent="0.4">
      <c r="F98" s="45" t="s">
        <v>57</v>
      </c>
      <c r="G98" s="15">
        <v>22</v>
      </c>
      <c r="H98" s="14">
        <v>10</v>
      </c>
      <c r="I98" s="14">
        <v>0</v>
      </c>
      <c r="J98" s="14">
        <v>0</v>
      </c>
      <c r="K98" s="14">
        <v>0</v>
      </c>
      <c r="L98" s="14">
        <v>0</v>
      </c>
      <c r="M98" s="20">
        <v>0</v>
      </c>
      <c r="N98" s="15">
        <v>0</v>
      </c>
      <c r="O98" s="44"/>
    </row>
    <row r="99" spans="2:15" x14ac:dyDescent="0.4">
      <c r="F99" s="43" t="s">
        <v>56</v>
      </c>
      <c r="G99" s="12">
        <v>32</v>
      </c>
      <c r="H99" s="17">
        <v>32</v>
      </c>
      <c r="I99" s="17">
        <v>32</v>
      </c>
      <c r="J99" s="17">
        <v>32</v>
      </c>
      <c r="K99" s="17">
        <v>30</v>
      </c>
      <c r="L99" s="17">
        <v>32</v>
      </c>
      <c r="M99" s="16">
        <v>30</v>
      </c>
      <c r="N99" s="15">
        <v>28</v>
      </c>
      <c r="O99" s="37"/>
    </row>
    <row r="100" spans="2:15" x14ac:dyDescent="0.4">
      <c r="F100" s="42" t="s">
        <v>55</v>
      </c>
      <c r="G100" s="41">
        <v>27.749340369393138</v>
      </c>
      <c r="H100" s="40">
        <v>27.257142857142856</v>
      </c>
      <c r="I100" s="40">
        <v>26.495818399044204</v>
      </c>
      <c r="J100" s="40">
        <v>24.015727391874179</v>
      </c>
      <c r="K100" s="40">
        <v>19.543809523809525</v>
      </c>
      <c r="L100" s="40">
        <v>16.256326530612245</v>
      </c>
      <c r="M100" s="39">
        <v>12.895522388059701</v>
      </c>
      <c r="N100" s="38">
        <v>8.3333333333333339</v>
      </c>
      <c r="O100" s="37"/>
    </row>
    <row r="101" spans="2:15" x14ac:dyDescent="0.4">
      <c r="B101" s="9" t="s">
        <v>54</v>
      </c>
    </row>
    <row r="102" spans="2:15" x14ac:dyDescent="0.4">
      <c r="B102" s="9" t="s">
        <v>53</v>
      </c>
    </row>
    <row r="103" spans="2:15" x14ac:dyDescent="0.4">
      <c r="D103" s="9" t="s">
        <v>52</v>
      </c>
      <c r="G103" s="9" t="s">
        <v>51</v>
      </c>
      <c r="J103" s="9" t="s">
        <v>50</v>
      </c>
    </row>
    <row r="104" spans="2:15" x14ac:dyDescent="0.4">
      <c r="B104" s="9" t="s">
        <v>49</v>
      </c>
      <c r="G104" s="9" t="s">
        <v>48</v>
      </c>
      <c r="H104" s="34">
        <v>855</v>
      </c>
      <c r="J104" s="9" t="s">
        <v>48</v>
      </c>
      <c r="K104" s="34">
        <v>754</v>
      </c>
    </row>
    <row r="105" spans="2:15" x14ac:dyDescent="0.4">
      <c r="D105" s="9" t="s">
        <v>47</v>
      </c>
      <c r="G105" s="9" t="s">
        <v>46</v>
      </c>
      <c r="H105" s="36">
        <v>18783</v>
      </c>
      <c r="J105" s="9" t="s">
        <v>46</v>
      </c>
      <c r="K105" s="36">
        <v>10688</v>
      </c>
    </row>
    <row r="106" spans="2:15" x14ac:dyDescent="0.4">
      <c r="G106" s="9" t="s">
        <v>45</v>
      </c>
      <c r="H106" s="35">
        <f>H105/H104</f>
        <v>21.96842105263158</v>
      </c>
      <c r="J106" s="9" t="s">
        <v>45</v>
      </c>
      <c r="K106" s="35">
        <f>K105/K104</f>
        <v>14.175066312997348</v>
      </c>
    </row>
    <row r="107" spans="2:15" x14ac:dyDescent="0.4">
      <c r="G107" s="9" t="s">
        <v>44</v>
      </c>
      <c r="H107" s="34">
        <v>502</v>
      </c>
      <c r="J107" s="9" t="s">
        <v>44</v>
      </c>
      <c r="K107" s="34">
        <v>287</v>
      </c>
    </row>
    <row r="108" spans="2:15" x14ac:dyDescent="0.4">
      <c r="G108" s="9" t="s">
        <v>43</v>
      </c>
      <c r="H108" s="10">
        <f>H107/H104</f>
        <v>0.58713450292397662</v>
      </c>
      <c r="J108" s="9" t="s">
        <v>43</v>
      </c>
      <c r="K108" s="10">
        <f>K107/K104</f>
        <v>0.38063660477453581</v>
      </c>
    </row>
    <row r="109" spans="2:15" x14ac:dyDescent="0.4">
      <c r="G109" s="33"/>
      <c r="J109" s="33"/>
    </row>
    <row r="110" spans="2:15" x14ac:dyDescent="0.4">
      <c r="G110" s="33"/>
      <c r="J110" s="33"/>
    </row>
    <row r="111" spans="2:15" x14ac:dyDescent="0.4">
      <c r="B111" s="9" t="s">
        <v>42</v>
      </c>
      <c r="O111" s="26" t="s">
        <v>32</v>
      </c>
    </row>
    <row r="112" spans="2:15" ht="9" customHeight="1" x14ac:dyDescent="0.4">
      <c r="O112" s="26"/>
    </row>
    <row r="113" spans="2:16" x14ac:dyDescent="0.4">
      <c r="F113" s="25"/>
      <c r="G113" s="23" t="s">
        <v>31</v>
      </c>
      <c r="H113" s="22" t="s">
        <v>30</v>
      </c>
      <c r="I113" s="22" t="s">
        <v>29</v>
      </c>
      <c r="J113" s="22" t="s">
        <v>28</v>
      </c>
      <c r="K113" s="22" t="s">
        <v>27</v>
      </c>
      <c r="L113" s="22" t="s">
        <v>26</v>
      </c>
      <c r="M113" s="24" t="s">
        <v>25</v>
      </c>
      <c r="N113" s="23" t="s">
        <v>24</v>
      </c>
      <c r="O113" s="22" t="s">
        <v>23</v>
      </c>
    </row>
    <row r="114" spans="2:16" x14ac:dyDescent="0.4">
      <c r="C114" s="9" t="s">
        <v>38</v>
      </c>
      <c r="F114" s="21">
        <v>1</v>
      </c>
      <c r="G114" s="15">
        <v>77</v>
      </c>
      <c r="H114" s="14">
        <v>172</v>
      </c>
      <c r="I114" s="14">
        <v>245</v>
      </c>
      <c r="J114" s="14">
        <v>175</v>
      </c>
      <c r="K114" s="14">
        <v>155</v>
      </c>
      <c r="L114" s="14">
        <v>86</v>
      </c>
      <c r="M114" s="20">
        <v>18</v>
      </c>
      <c r="N114" s="15">
        <v>0</v>
      </c>
      <c r="O114" s="14">
        <f>SUM(G114:N114)</f>
        <v>928</v>
      </c>
    </row>
    <row r="115" spans="2:16" x14ac:dyDescent="0.4">
      <c r="C115" s="9" t="s">
        <v>41</v>
      </c>
      <c r="F115" s="21">
        <v>2</v>
      </c>
      <c r="G115" s="15">
        <v>50</v>
      </c>
      <c r="H115" s="14">
        <v>154</v>
      </c>
      <c r="I115" s="14">
        <v>268</v>
      </c>
      <c r="J115" s="14">
        <v>265</v>
      </c>
      <c r="K115" s="14">
        <v>416</v>
      </c>
      <c r="L115" s="14">
        <v>421</v>
      </c>
      <c r="M115" s="20">
        <v>101</v>
      </c>
      <c r="N115" s="15">
        <v>5</v>
      </c>
      <c r="O115" s="14">
        <f>SUM(G115:N115)</f>
        <v>1680</v>
      </c>
    </row>
    <row r="116" spans="2:16" x14ac:dyDescent="0.4">
      <c r="C116" s="9" t="s">
        <v>40</v>
      </c>
      <c r="F116" s="21">
        <v>3</v>
      </c>
      <c r="G116" s="15">
        <v>261</v>
      </c>
      <c r="H116" s="14">
        <v>333</v>
      </c>
      <c r="I116" s="14">
        <v>390</v>
      </c>
      <c r="J116" s="14">
        <v>367</v>
      </c>
      <c r="K116" s="14">
        <v>538</v>
      </c>
      <c r="L116" s="14">
        <v>794</v>
      </c>
      <c r="M116" s="20">
        <v>243</v>
      </c>
      <c r="N116" s="15">
        <v>15</v>
      </c>
      <c r="O116" s="14">
        <f>SUM(G116:N116)</f>
        <v>2941</v>
      </c>
    </row>
    <row r="117" spans="2:16" x14ac:dyDescent="0.4">
      <c r="F117" s="18" t="s">
        <v>18</v>
      </c>
      <c r="G117" s="12">
        <v>35</v>
      </c>
      <c r="H117" s="17">
        <v>39</v>
      </c>
      <c r="I117" s="17">
        <v>89</v>
      </c>
      <c r="J117" s="17">
        <v>100</v>
      </c>
      <c r="K117" s="17">
        <v>131</v>
      </c>
      <c r="L117" s="17">
        <v>85</v>
      </c>
      <c r="M117" s="16">
        <v>30</v>
      </c>
      <c r="N117" s="15">
        <v>0</v>
      </c>
      <c r="O117" s="14">
        <f>SUM(G117:N117)</f>
        <v>509</v>
      </c>
    </row>
    <row r="118" spans="2:16" x14ac:dyDescent="0.4">
      <c r="F118" s="13" t="s">
        <v>23</v>
      </c>
      <c r="G118" s="12">
        <f t="shared" ref="G118:N118" si="14">SUM(G114:G117)</f>
        <v>423</v>
      </c>
      <c r="H118" s="12">
        <f t="shared" si="14"/>
        <v>698</v>
      </c>
      <c r="I118" s="12">
        <f t="shared" si="14"/>
        <v>992</v>
      </c>
      <c r="J118" s="12">
        <f t="shared" si="14"/>
        <v>907</v>
      </c>
      <c r="K118" s="12">
        <f t="shared" si="14"/>
        <v>1240</v>
      </c>
      <c r="L118" s="12">
        <f t="shared" si="14"/>
        <v>1386</v>
      </c>
      <c r="M118" s="12">
        <f t="shared" si="14"/>
        <v>392</v>
      </c>
      <c r="N118" s="12">
        <f t="shared" si="14"/>
        <v>20</v>
      </c>
      <c r="O118" s="14">
        <f>SUM(F118:N118)</f>
        <v>6058</v>
      </c>
    </row>
    <row r="119" spans="2:16" x14ac:dyDescent="0.4">
      <c r="C119" s="9" t="s">
        <v>22</v>
      </c>
      <c r="F119" s="32" t="s">
        <v>39</v>
      </c>
      <c r="G119" s="31">
        <f t="shared" ref="G119:N119" si="15">G114/G118</f>
        <v>0.18203309692671396</v>
      </c>
      <c r="H119" s="31">
        <f t="shared" si="15"/>
        <v>0.24641833810888253</v>
      </c>
      <c r="I119" s="31">
        <f t="shared" si="15"/>
        <v>0.24697580645161291</v>
      </c>
      <c r="J119" s="31">
        <f t="shared" si="15"/>
        <v>0.19294377067254687</v>
      </c>
      <c r="K119" s="31">
        <f t="shared" si="15"/>
        <v>0.125</v>
      </c>
      <c r="L119" s="31">
        <f t="shared" si="15"/>
        <v>6.2049062049062048E-2</v>
      </c>
      <c r="M119" s="31">
        <f t="shared" si="15"/>
        <v>4.5918367346938778E-2</v>
      </c>
      <c r="N119" s="31">
        <f t="shared" si="15"/>
        <v>0</v>
      </c>
      <c r="O119" s="30"/>
      <c r="P119" s="27"/>
    </row>
    <row r="120" spans="2:16" x14ac:dyDescent="0.4">
      <c r="C120" s="9" t="s">
        <v>38</v>
      </c>
      <c r="D120" s="10">
        <f>O114/$O$118</f>
        <v>0.15318586992406735</v>
      </c>
      <c r="I120" s="29"/>
    </row>
    <row r="121" spans="2:16" x14ac:dyDescent="0.4">
      <c r="C121" s="28" t="s">
        <v>37</v>
      </c>
      <c r="D121" s="10">
        <f>O115/$O$118</f>
        <v>0.27731924727632884</v>
      </c>
    </row>
    <row r="122" spans="2:16" x14ac:dyDescent="0.4">
      <c r="C122" s="9" t="s">
        <v>36</v>
      </c>
      <c r="D122" s="10">
        <f>O116/$O$118</f>
        <v>0.48547375371409707</v>
      </c>
      <c r="J122" s="27"/>
    </row>
    <row r="123" spans="2:16" x14ac:dyDescent="0.4">
      <c r="C123" s="11" t="s">
        <v>18</v>
      </c>
      <c r="D123" s="10">
        <f>O117/$O$118</f>
        <v>8.4021129085506768E-2</v>
      </c>
    </row>
    <row r="125" spans="2:16" x14ac:dyDescent="0.4">
      <c r="B125" s="9" t="s">
        <v>35</v>
      </c>
      <c r="O125" s="26" t="s">
        <v>32</v>
      </c>
    </row>
    <row r="126" spans="2:16" ht="9" customHeight="1" x14ac:dyDescent="0.4"/>
    <row r="127" spans="2:16" x14ac:dyDescent="0.4">
      <c r="F127" s="25"/>
      <c r="G127" s="23" t="s">
        <v>31</v>
      </c>
      <c r="H127" s="22" t="s">
        <v>30</v>
      </c>
      <c r="I127" s="22" t="s">
        <v>29</v>
      </c>
      <c r="J127" s="22" t="s">
        <v>28</v>
      </c>
      <c r="K127" s="22" t="s">
        <v>27</v>
      </c>
      <c r="L127" s="22" t="s">
        <v>26</v>
      </c>
      <c r="M127" s="24" t="s">
        <v>25</v>
      </c>
      <c r="N127" s="23" t="s">
        <v>24</v>
      </c>
      <c r="O127" s="22" t="s">
        <v>23</v>
      </c>
    </row>
    <row r="128" spans="2:16" x14ac:dyDescent="0.4">
      <c r="C128" s="9" t="s">
        <v>21</v>
      </c>
      <c r="F128" s="21">
        <v>1</v>
      </c>
      <c r="G128" s="15">
        <v>275</v>
      </c>
      <c r="H128" s="14">
        <v>380</v>
      </c>
      <c r="I128" s="14">
        <v>457</v>
      </c>
      <c r="J128" s="14">
        <v>334</v>
      </c>
      <c r="K128" s="14">
        <v>506</v>
      </c>
      <c r="L128" s="14">
        <v>570</v>
      </c>
      <c r="M128" s="20">
        <v>167</v>
      </c>
      <c r="N128" s="15">
        <v>12</v>
      </c>
      <c r="O128" s="14">
        <f>SUM(G128:N128)</f>
        <v>2701</v>
      </c>
    </row>
    <row r="129" spans="2:15" x14ac:dyDescent="0.4">
      <c r="C129" s="9" t="s">
        <v>20</v>
      </c>
      <c r="F129" s="21">
        <v>2</v>
      </c>
      <c r="G129" s="15">
        <v>51</v>
      </c>
      <c r="H129" s="14">
        <v>105</v>
      </c>
      <c r="I129" s="14">
        <v>151</v>
      </c>
      <c r="J129" s="14">
        <v>133</v>
      </c>
      <c r="K129" s="14">
        <v>157</v>
      </c>
      <c r="L129" s="14">
        <v>195</v>
      </c>
      <c r="M129" s="20">
        <v>62</v>
      </c>
      <c r="N129" s="15">
        <v>1</v>
      </c>
      <c r="O129" s="14">
        <f>SUM(G129:N129)</f>
        <v>855</v>
      </c>
    </row>
    <row r="130" spans="2:15" x14ac:dyDescent="0.4">
      <c r="C130" s="9" t="s">
        <v>19</v>
      </c>
      <c r="F130" s="19">
        <v>3</v>
      </c>
      <c r="G130" s="12">
        <v>62</v>
      </c>
      <c r="H130" s="17">
        <v>170</v>
      </c>
      <c r="I130" s="17">
        <v>283</v>
      </c>
      <c r="J130" s="17">
        <v>325</v>
      </c>
      <c r="K130" s="17">
        <v>428</v>
      </c>
      <c r="L130" s="17">
        <v>490</v>
      </c>
      <c r="M130" s="16">
        <v>110</v>
      </c>
      <c r="N130" s="15">
        <v>4</v>
      </c>
      <c r="O130" s="14">
        <f>SUM(G130:N130)</f>
        <v>1872</v>
      </c>
    </row>
    <row r="131" spans="2:15" x14ac:dyDescent="0.4">
      <c r="F131" s="18" t="s">
        <v>18</v>
      </c>
      <c r="G131" s="12">
        <v>35</v>
      </c>
      <c r="H131" s="17">
        <v>43</v>
      </c>
      <c r="I131" s="17">
        <v>101</v>
      </c>
      <c r="J131" s="17">
        <v>115</v>
      </c>
      <c r="K131" s="17">
        <v>149</v>
      </c>
      <c r="L131" s="17">
        <v>131</v>
      </c>
      <c r="M131" s="16">
        <v>53</v>
      </c>
      <c r="N131" s="15">
        <v>3</v>
      </c>
      <c r="O131" s="14">
        <f>SUM(G131:N131)</f>
        <v>630</v>
      </c>
    </row>
    <row r="132" spans="2:15" x14ac:dyDescent="0.4">
      <c r="F132" s="13" t="s">
        <v>23</v>
      </c>
      <c r="G132" s="12">
        <f t="shared" ref="G132:O132" si="16">SUM(G128:G131)</f>
        <v>423</v>
      </c>
      <c r="H132" s="12">
        <f t="shared" si="16"/>
        <v>698</v>
      </c>
      <c r="I132" s="12">
        <f t="shared" si="16"/>
        <v>992</v>
      </c>
      <c r="J132" s="12">
        <f t="shared" si="16"/>
        <v>907</v>
      </c>
      <c r="K132" s="12">
        <f t="shared" si="16"/>
        <v>1240</v>
      </c>
      <c r="L132" s="12">
        <f t="shared" si="16"/>
        <v>1386</v>
      </c>
      <c r="M132" s="12">
        <f t="shared" si="16"/>
        <v>392</v>
      </c>
      <c r="N132" s="12">
        <f t="shared" si="16"/>
        <v>20</v>
      </c>
      <c r="O132" s="12">
        <f t="shared" si="16"/>
        <v>6058</v>
      </c>
    </row>
    <row r="133" spans="2:15" x14ac:dyDescent="0.4">
      <c r="C133" s="9" t="s">
        <v>22</v>
      </c>
    </row>
    <row r="134" spans="2:15" x14ac:dyDescent="0.4">
      <c r="C134" s="9" t="s">
        <v>21</v>
      </c>
      <c r="E134" s="10">
        <f>O128/$O$118</f>
        <v>0.44585671838890722</v>
      </c>
    </row>
    <row r="135" spans="2:15" x14ac:dyDescent="0.4">
      <c r="C135" s="9" t="s">
        <v>20</v>
      </c>
      <c r="E135" s="10">
        <f>O129/$O$118</f>
        <v>0.14113568834598877</v>
      </c>
    </row>
    <row r="136" spans="2:15" x14ac:dyDescent="0.4">
      <c r="C136" s="9" t="s">
        <v>19</v>
      </c>
      <c r="E136" s="10">
        <f>O130/$O$118</f>
        <v>0.30901287553648071</v>
      </c>
    </row>
    <row r="137" spans="2:15" x14ac:dyDescent="0.4">
      <c r="C137" s="11" t="s">
        <v>18</v>
      </c>
      <c r="D137" s="11"/>
      <c r="E137" s="10">
        <f>O131/$O$118</f>
        <v>0.10399471772862331</v>
      </c>
    </row>
    <row r="139" spans="2:15" x14ac:dyDescent="0.4">
      <c r="B139" s="9" t="s">
        <v>34</v>
      </c>
      <c r="O139" s="26" t="s">
        <v>32</v>
      </c>
    </row>
    <row r="140" spans="2:15" ht="9" customHeight="1" x14ac:dyDescent="0.4"/>
    <row r="141" spans="2:15" x14ac:dyDescent="0.4">
      <c r="F141" s="25"/>
      <c r="G141" s="23" t="s">
        <v>31</v>
      </c>
      <c r="H141" s="22" t="s">
        <v>30</v>
      </c>
      <c r="I141" s="22" t="s">
        <v>29</v>
      </c>
      <c r="J141" s="22" t="s">
        <v>28</v>
      </c>
      <c r="K141" s="22" t="s">
        <v>27</v>
      </c>
      <c r="L141" s="22" t="s">
        <v>26</v>
      </c>
      <c r="M141" s="24" t="s">
        <v>25</v>
      </c>
      <c r="N141" s="23" t="s">
        <v>24</v>
      </c>
      <c r="O141" s="22" t="s">
        <v>23</v>
      </c>
    </row>
    <row r="142" spans="2:15" x14ac:dyDescent="0.4">
      <c r="C142" s="9" t="s">
        <v>21</v>
      </c>
      <c r="F142" s="21">
        <v>1</v>
      </c>
      <c r="G142" s="15">
        <v>330</v>
      </c>
      <c r="H142" s="14">
        <v>541</v>
      </c>
      <c r="I142" s="14">
        <v>737</v>
      </c>
      <c r="J142" s="14">
        <v>608</v>
      </c>
      <c r="K142" s="14">
        <v>812</v>
      </c>
      <c r="L142" s="14">
        <v>840</v>
      </c>
      <c r="M142" s="20">
        <v>223</v>
      </c>
      <c r="N142" s="15">
        <v>11</v>
      </c>
      <c r="O142" s="14">
        <f>SUM(G142:N142)</f>
        <v>4102</v>
      </c>
    </row>
    <row r="143" spans="2:15" x14ac:dyDescent="0.4">
      <c r="C143" s="9" t="s">
        <v>20</v>
      </c>
      <c r="F143" s="21">
        <v>2</v>
      </c>
      <c r="G143" s="15">
        <v>39</v>
      </c>
      <c r="H143" s="14">
        <v>82</v>
      </c>
      <c r="I143" s="14">
        <v>118</v>
      </c>
      <c r="J143" s="14">
        <v>136</v>
      </c>
      <c r="K143" s="14">
        <v>207</v>
      </c>
      <c r="L143" s="14">
        <v>282</v>
      </c>
      <c r="M143" s="20">
        <v>63</v>
      </c>
      <c r="N143" s="15">
        <v>4</v>
      </c>
      <c r="O143" s="14">
        <f>SUM(G143:N143)</f>
        <v>931</v>
      </c>
    </row>
    <row r="144" spans="2:15" x14ac:dyDescent="0.4">
      <c r="C144" s="9" t="s">
        <v>19</v>
      </c>
      <c r="F144" s="19">
        <v>3</v>
      </c>
      <c r="G144" s="12">
        <v>19</v>
      </c>
      <c r="H144" s="17">
        <v>29</v>
      </c>
      <c r="I144" s="17">
        <v>32</v>
      </c>
      <c r="J144" s="17">
        <v>46</v>
      </c>
      <c r="K144" s="17">
        <v>59</v>
      </c>
      <c r="L144" s="17">
        <v>96</v>
      </c>
      <c r="M144" s="16">
        <v>39</v>
      </c>
      <c r="N144" s="15">
        <v>1</v>
      </c>
      <c r="O144" s="14">
        <f>SUM(G144:N144)</f>
        <v>321</v>
      </c>
    </row>
    <row r="145" spans="2:15" x14ac:dyDescent="0.4">
      <c r="F145" s="18" t="s">
        <v>18</v>
      </c>
      <c r="G145" s="12">
        <v>35</v>
      </c>
      <c r="H145" s="17">
        <v>46</v>
      </c>
      <c r="I145" s="17">
        <v>105</v>
      </c>
      <c r="J145" s="17">
        <v>117</v>
      </c>
      <c r="K145" s="17">
        <v>162</v>
      </c>
      <c r="L145" s="17">
        <v>168</v>
      </c>
      <c r="M145" s="16">
        <v>67</v>
      </c>
      <c r="N145" s="15">
        <v>4</v>
      </c>
      <c r="O145" s="14">
        <f>SUM(G145:N145)</f>
        <v>704</v>
      </c>
    </row>
    <row r="146" spans="2:15" x14ac:dyDescent="0.4">
      <c r="F146" s="13" t="s">
        <v>23</v>
      </c>
      <c r="G146" s="12">
        <f t="shared" ref="G146:O146" si="17">SUM(G142:G145)</f>
        <v>423</v>
      </c>
      <c r="H146" s="12">
        <f t="shared" si="17"/>
        <v>698</v>
      </c>
      <c r="I146" s="12">
        <f t="shared" si="17"/>
        <v>992</v>
      </c>
      <c r="J146" s="12">
        <f t="shared" si="17"/>
        <v>907</v>
      </c>
      <c r="K146" s="12">
        <f t="shared" si="17"/>
        <v>1240</v>
      </c>
      <c r="L146" s="12">
        <f t="shared" si="17"/>
        <v>1386</v>
      </c>
      <c r="M146" s="12">
        <f t="shared" si="17"/>
        <v>392</v>
      </c>
      <c r="N146" s="12">
        <f t="shared" si="17"/>
        <v>20</v>
      </c>
      <c r="O146" s="12">
        <f t="shared" si="17"/>
        <v>6058</v>
      </c>
    </row>
    <row r="147" spans="2:15" x14ac:dyDescent="0.4">
      <c r="C147" s="9" t="s">
        <v>22</v>
      </c>
    </row>
    <row r="148" spans="2:15" x14ac:dyDescent="0.4">
      <c r="C148" s="9" t="s">
        <v>21</v>
      </c>
      <c r="E148" s="10">
        <f>O142/$O$118</f>
        <v>0.67712116209970286</v>
      </c>
    </row>
    <row r="149" spans="2:15" x14ac:dyDescent="0.4">
      <c r="C149" s="9" t="s">
        <v>20</v>
      </c>
      <c r="E149" s="10">
        <f>O143/$O$118</f>
        <v>0.15368108286563223</v>
      </c>
    </row>
    <row r="150" spans="2:15" x14ac:dyDescent="0.4">
      <c r="C150" s="9" t="s">
        <v>19</v>
      </c>
      <c r="E150" s="10">
        <f>O144/$O$118</f>
        <v>5.2987784747441397E-2</v>
      </c>
    </row>
    <row r="151" spans="2:15" x14ac:dyDescent="0.4">
      <c r="C151" s="11" t="s">
        <v>18</v>
      </c>
      <c r="D151" s="11"/>
      <c r="E151" s="10">
        <f>O145/$O$118</f>
        <v>0.1162099702872235</v>
      </c>
    </row>
    <row r="153" spans="2:15" x14ac:dyDescent="0.4">
      <c r="B153" s="9" t="s">
        <v>33</v>
      </c>
      <c r="O153" s="26" t="s">
        <v>32</v>
      </c>
    </row>
    <row r="154" spans="2:15" ht="9" customHeight="1" x14ac:dyDescent="0.4"/>
    <row r="155" spans="2:15" x14ac:dyDescent="0.4">
      <c r="F155" s="25"/>
      <c r="G155" s="23" t="s">
        <v>31</v>
      </c>
      <c r="H155" s="22" t="s">
        <v>30</v>
      </c>
      <c r="I155" s="22" t="s">
        <v>29</v>
      </c>
      <c r="J155" s="22" t="s">
        <v>28</v>
      </c>
      <c r="K155" s="22" t="s">
        <v>27</v>
      </c>
      <c r="L155" s="22" t="s">
        <v>26</v>
      </c>
      <c r="M155" s="24" t="s">
        <v>25</v>
      </c>
      <c r="N155" s="23" t="s">
        <v>24</v>
      </c>
      <c r="O155" s="22" t="s">
        <v>23</v>
      </c>
    </row>
    <row r="156" spans="2:15" x14ac:dyDescent="0.4">
      <c r="C156" s="9" t="s">
        <v>21</v>
      </c>
      <c r="F156" s="21">
        <v>1</v>
      </c>
      <c r="G156" s="15">
        <v>326</v>
      </c>
      <c r="H156" s="14">
        <v>550</v>
      </c>
      <c r="I156" s="14">
        <v>766</v>
      </c>
      <c r="J156" s="14">
        <v>644</v>
      </c>
      <c r="K156" s="14">
        <v>928</v>
      </c>
      <c r="L156" s="14">
        <v>1029</v>
      </c>
      <c r="M156" s="20">
        <v>296</v>
      </c>
      <c r="N156" s="15">
        <v>16</v>
      </c>
      <c r="O156" s="14">
        <f>SUM(G156:N156)</f>
        <v>4555</v>
      </c>
    </row>
    <row r="157" spans="2:15" x14ac:dyDescent="0.4">
      <c r="C157" s="9" t="s">
        <v>20</v>
      </c>
      <c r="F157" s="21">
        <v>2</v>
      </c>
      <c r="G157" s="15">
        <v>40</v>
      </c>
      <c r="H157" s="14">
        <v>75</v>
      </c>
      <c r="I157" s="14">
        <v>87</v>
      </c>
      <c r="J157" s="14">
        <v>101</v>
      </c>
      <c r="K157" s="14">
        <v>125</v>
      </c>
      <c r="L157" s="14">
        <v>150</v>
      </c>
      <c r="M157" s="20">
        <v>23</v>
      </c>
      <c r="N157" s="15">
        <v>0</v>
      </c>
      <c r="O157" s="14">
        <f>SUM(G157:N157)</f>
        <v>601</v>
      </c>
    </row>
    <row r="158" spans="2:15" x14ac:dyDescent="0.4">
      <c r="C158" s="9" t="s">
        <v>19</v>
      </c>
      <c r="F158" s="19">
        <v>3</v>
      </c>
      <c r="G158" s="12">
        <v>22</v>
      </c>
      <c r="H158" s="17">
        <v>26</v>
      </c>
      <c r="I158" s="17">
        <v>33</v>
      </c>
      <c r="J158" s="17">
        <v>44</v>
      </c>
      <c r="K158" s="17">
        <v>26</v>
      </c>
      <c r="L158" s="17">
        <v>37</v>
      </c>
      <c r="M158" s="16">
        <v>7</v>
      </c>
      <c r="N158" s="15">
        <v>1</v>
      </c>
      <c r="O158" s="14">
        <f>SUM(G158:N158)</f>
        <v>196</v>
      </c>
    </row>
    <row r="159" spans="2:15" x14ac:dyDescent="0.4">
      <c r="F159" s="18" t="s">
        <v>18</v>
      </c>
      <c r="G159" s="12">
        <v>35</v>
      </c>
      <c r="H159" s="17">
        <v>47</v>
      </c>
      <c r="I159" s="17">
        <v>106</v>
      </c>
      <c r="J159" s="17">
        <v>118</v>
      </c>
      <c r="K159" s="17">
        <v>161</v>
      </c>
      <c r="L159" s="17">
        <v>170</v>
      </c>
      <c r="M159" s="16">
        <v>66</v>
      </c>
      <c r="N159" s="15">
        <v>3</v>
      </c>
      <c r="O159" s="14">
        <f>SUM(G159:N159)</f>
        <v>706</v>
      </c>
    </row>
    <row r="160" spans="2:15" x14ac:dyDescent="0.4">
      <c r="F160" s="13" t="s">
        <v>23</v>
      </c>
      <c r="G160" s="12">
        <f t="shared" ref="G160:O160" si="18">SUM(G156:G159)</f>
        <v>423</v>
      </c>
      <c r="H160" s="12">
        <f t="shared" si="18"/>
        <v>698</v>
      </c>
      <c r="I160" s="12">
        <f t="shared" si="18"/>
        <v>992</v>
      </c>
      <c r="J160" s="12">
        <f t="shared" si="18"/>
        <v>907</v>
      </c>
      <c r="K160" s="12">
        <f t="shared" si="18"/>
        <v>1240</v>
      </c>
      <c r="L160" s="12">
        <f t="shared" si="18"/>
        <v>1386</v>
      </c>
      <c r="M160" s="12">
        <f t="shared" si="18"/>
        <v>392</v>
      </c>
      <c r="N160" s="12">
        <f t="shared" si="18"/>
        <v>20</v>
      </c>
      <c r="O160" s="12">
        <f t="shared" si="18"/>
        <v>6058</v>
      </c>
    </row>
    <row r="161" spans="3:5" x14ac:dyDescent="0.4">
      <c r="C161" s="9" t="s">
        <v>22</v>
      </c>
    </row>
    <row r="162" spans="3:5" x14ac:dyDescent="0.4">
      <c r="C162" s="9" t="s">
        <v>21</v>
      </c>
      <c r="E162" s="10">
        <f>O156/$O$118</f>
        <v>0.75189831627599868</v>
      </c>
    </row>
    <row r="163" spans="3:5" x14ac:dyDescent="0.4">
      <c r="C163" s="9" t="s">
        <v>20</v>
      </c>
      <c r="E163" s="10">
        <f>O157/$O$118</f>
        <v>9.9207659293496203E-2</v>
      </c>
    </row>
    <row r="164" spans="3:5" x14ac:dyDescent="0.4">
      <c r="C164" s="9" t="s">
        <v>19</v>
      </c>
      <c r="E164" s="10">
        <f>O158/$O$118</f>
        <v>3.2353912182238362E-2</v>
      </c>
    </row>
    <row r="165" spans="3:5" x14ac:dyDescent="0.4">
      <c r="C165" s="11" t="s">
        <v>18</v>
      </c>
      <c r="D165" s="11"/>
      <c r="E165" s="10">
        <f>O159/$O$118</f>
        <v>0.11654011224826676</v>
      </c>
    </row>
  </sheetData>
  <phoneticPr fontId="9"/>
  <pageMargins left="0.11811023622047245" right="0.11811023622047245" top="0.59055118110236227" bottom="0.55118110236220474" header="0.31496062992125984" footer="0.31496062992125984"/>
  <pageSetup paperSize="9" scale="47" fitToHeight="2" orientation="portrait" r:id="rId1"/>
  <rowBreaks count="1" manualBreakCount="1">
    <brk id="91"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65"/>
  <sheetViews>
    <sheetView zoomScaleNormal="100" workbookViewId="0">
      <selection activeCell="I13" sqref="I13"/>
    </sheetView>
  </sheetViews>
  <sheetFormatPr defaultRowHeight="18.75" x14ac:dyDescent="0.4"/>
  <cols>
    <col min="1" max="5" width="9" style="105"/>
    <col min="6" max="6" width="9.875" style="105" customWidth="1"/>
    <col min="7" max="16384" width="9" style="105"/>
  </cols>
  <sheetData>
    <row r="1" spans="1:15" ht="26.25" customHeight="1" x14ac:dyDescent="0.4">
      <c r="B1" s="106" t="s">
        <v>184</v>
      </c>
    </row>
    <row r="2" spans="1:15" ht="15" customHeight="1" x14ac:dyDescent="0.4">
      <c r="B2" s="107"/>
    </row>
    <row r="3" spans="1:15" ht="18" customHeight="1" x14ac:dyDescent="0.4">
      <c r="B3" s="108" t="s">
        <v>111</v>
      </c>
    </row>
    <row r="4" spans="1:15" ht="15" customHeight="1" x14ac:dyDescent="0.4">
      <c r="B4" s="109" t="s">
        <v>185</v>
      </c>
    </row>
    <row r="5" spans="1:15" ht="15" customHeight="1" x14ac:dyDescent="0.4">
      <c r="B5" s="110" t="s">
        <v>186</v>
      </c>
    </row>
    <row r="6" spans="1:15" ht="15" customHeight="1" x14ac:dyDescent="0.4">
      <c r="A6" s="105" t="s">
        <v>108</v>
      </c>
      <c r="B6" s="111" t="s">
        <v>189</v>
      </c>
    </row>
    <row r="7" spans="1:15" ht="13.5" customHeight="1" x14ac:dyDescent="0.4">
      <c r="B7" s="109"/>
    </row>
    <row r="8" spans="1:15" ht="18" customHeight="1" x14ac:dyDescent="0.4">
      <c r="B8" s="108" t="s">
        <v>106</v>
      </c>
    </row>
    <row r="9" spans="1:15" x14ac:dyDescent="0.4">
      <c r="B9" s="105" t="s">
        <v>105</v>
      </c>
      <c r="O9" s="112" t="s">
        <v>32</v>
      </c>
    </row>
    <row r="10" spans="1:15" ht="9" customHeight="1" x14ac:dyDescent="0.4">
      <c r="F10" s="113"/>
      <c r="O10" s="112"/>
    </row>
    <row r="11" spans="1:15" x14ac:dyDescent="0.4">
      <c r="B11" s="114" t="s">
        <v>104</v>
      </c>
      <c r="C11" s="115">
        <f>O12</f>
        <v>2784</v>
      </c>
      <c r="D11" s="116">
        <f>O12/$O$14</f>
        <v>0.48191102648433443</v>
      </c>
      <c r="E11" s="117"/>
      <c r="F11" s="118"/>
      <c r="G11" s="119" t="s">
        <v>31</v>
      </c>
      <c r="H11" s="120" t="s">
        <v>30</v>
      </c>
      <c r="I11" s="120" t="s">
        <v>29</v>
      </c>
      <c r="J11" s="120" t="s">
        <v>28</v>
      </c>
      <c r="K11" s="120" t="s">
        <v>27</v>
      </c>
      <c r="L11" s="120" t="s">
        <v>26</v>
      </c>
      <c r="M11" s="121" t="s">
        <v>25</v>
      </c>
      <c r="N11" s="119" t="s">
        <v>24</v>
      </c>
      <c r="O11" s="120" t="s">
        <v>23</v>
      </c>
    </row>
    <row r="12" spans="1:15" x14ac:dyDescent="0.4">
      <c r="B12" s="114" t="s">
        <v>102</v>
      </c>
      <c r="C12" s="115">
        <f t="shared" ref="C12:C13" si="0">O13</f>
        <v>2993</v>
      </c>
      <c r="D12" s="116">
        <f>O13/$O$14</f>
        <v>0.51808897351566552</v>
      </c>
      <c r="E12" s="117"/>
      <c r="F12" s="122" t="s">
        <v>100</v>
      </c>
      <c r="G12" s="123">
        <v>334</v>
      </c>
      <c r="H12" s="124">
        <v>342</v>
      </c>
      <c r="I12" s="124">
        <v>566</v>
      </c>
      <c r="J12" s="124">
        <v>442</v>
      </c>
      <c r="K12" s="124">
        <v>482</v>
      </c>
      <c r="L12" s="124">
        <v>494</v>
      </c>
      <c r="M12" s="125">
        <v>119</v>
      </c>
      <c r="N12" s="123">
        <v>5</v>
      </c>
      <c r="O12" s="124">
        <f>SUM(G12:N12)</f>
        <v>2784</v>
      </c>
    </row>
    <row r="13" spans="1:15" x14ac:dyDescent="0.4">
      <c r="B13" s="114" t="s">
        <v>99</v>
      </c>
      <c r="C13" s="115">
        <f t="shared" si="0"/>
        <v>5777</v>
      </c>
      <c r="D13" s="126"/>
      <c r="E13" s="127"/>
      <c r="F13" s="122" t="s">
        <v>97</v>
      </c>
      <c r="G13" s="123">
        <v>334</v>
      </c>
      <c r="H13" s="124">
        <v>334</v>
      </c>
      <c r="I13" s="124">
        <v>513</v>
      </c>
      <c r="J13" s="124">
        <v>459</v>
      </c>
      <c r="K13" s="124">
        <v>613</v>
      </c>
      <c r="L13" s="124">
        <v>587</v>
      </c>
      <c r="M13" s="125">
        <v>145</v>
      </c>
      <c r="N13" s="123">
        <v>8</v>
      </c>
      <c r="O13" s="124">
        <f>SUM(G13:N13)</f>
        <v>2993</v>
      </c>
    </row>
    <row r="14" spans="1:15" x14ac:dyDescent="0.4">
      <c r="C14" s="126"/>
      <c r="D14" s="126"/>
      <c r="E14" s="128"/>
      <c r="F14" s="119" t="s">
        <v>23</v>
      </c>
      <c r="G14" s="129">
        <f>SUM(G12:G13)</f>
        <v>668</v>
      </c>
      <c r="H14" s="129">
        <f t="shared" ref="H14:O14" si="1">SUM(H12:H13)</f>
        <v>676</v>
      </c>
      <c r="I14" s="129">
        <f t="shared" si="1"/>
        <v>1079</v>
      </c>
      <c r="J14" s="129">
        <f t="shared" si="1"/>
        <v>901</v>
      </c>
      <c r="K14" s="129">
        <f t="shared" si="1"/>
        <v>1095</v>
      </c>
      <c r="L14" s="129">
        <f t="shared" si="1"/>
        <v>1081</v>
      </c>
      <c r="M14" s="129">
        <f t="shared" si="1"/>
        <v>264</v>
      </c>
      <c r="N14" s="129">
        <f t="shared" si="1"/>
        <v>13</v>
      </c>
      <c r="O14" s="129">
        <f t="shared" si="1"/>
        <v>5777</v>
      </c>
    </row>
    <row r="15" spans="1:15" x14ac:dyDescent="0.4">
      <c r="B15" s="114" t="s">
        <v>96</v>
      </c>
      <c r="C15" s="111" t="s">
        <v>95</v>
      </c>
      <c r="D15" s="126"/>
      <c r="F15" s="130" t="s">
        <v>94</v>
      </c>
      <c r="G15" s="131">
        <f>G14/$O$14</f>
        <v>0.11563095032023542</v>
      </c>
      <c r="H15" s="131">
        <f t="shared" ref="H15:N15" si="2">H14/$O$14</f>
        <v>0.11701575212047775</v>
      </c>
      <c r="I15" s="131">
        <f t="shared" si="2"/>
        <v>0.18677514280768565</v>
      </c>
      <c r="J15" s="131">
        <f t="shared" si="2"/>
        <v>0.15596330275229359</v>
      </c>
      <c r="K15" s="131">
        <f t="shared" si="2"/>
        <v>0.18954474640817032</v>
      </c>
      <c r="L15" s="131">
        <f t="shared" si="2"/>
        <v>0.18712134325774624</v>
      </c>
      <c r="M15" s="131">
        <f t="shared" si="2"/>
        <v>4.569845940799723E-2</v>
      </c>
      <c r="N15" s="131">
        <f t="shared" si="2"/>
        <v>2.2503029253938029E-3</v>
      </c>
      <c r="O15" s="132"/>
    </row>
    <row r="16" spans="1:15" x14ac:dyDescent="0.4">
      <c r="B16" s="114" t="s">
        <v>93</v>
      </c>
      <c r="C16" s="111" t="s">
        <v>187</v>
      </c>
      <c r="D16" s="126"/>
      <c r="G16" s="133"/>
      <c r="H16" s="134"/>
      <c r="I16" s="134"/>
      <c r="J16" s="134"/>
      <c r="K16" s="134"/>
      <c r="L16" s="134"/>
      <c r="M16" s="134"/>
      <c r="N16" s="135"/>
    </row>
    <row r="17" spans="2:15" x14ac:dyDescent="0.4">
      <c r="B17" s="136" t="s">
        <v>91</v>
      </c>
      <c r="C17" s="111" t="s">
        <v>190</v>
      </c>
      <c r="D17" s="126"/>
      <c r="N17" s="128"/>
    </row>
    <row r="18" spans="2:15" x14ac:dyDescent="0.4">
      <c r="M18" s="128"/>
    </row>
    <row r="19" spans="2:15" x14ac:dyDescent="0.4">
      <c r="B19" s="105" t="s">
        <v>89</v>
      </c>
      <c r="O19" s="112" t="s">
        <v>32</v>
      </c>
    </row>
    <row r="20" spans="2:15" ht="9" customHeight="1" x14ac:dyDescent="0.4">
      <c r="O20" s="112"/>
    </row>
    <row r="21" spans="2:15" x14ac:dyDescent="0.4">
      <c r="F21" s="118"/>
      <c r="G21" s="119" t="s">
        <v>31</v>
      </c>
      <c r="H21" s="120" t="s">
        <v>30</v>
      </c>
      <c r="I21" s="120" t="s">
        <v>29</v>
      </c>
      <c r="J21" s="120" t="s">
        <v>28</v>
      </c>
      <c r="K21" s="120" t="s">
        <v>27</v>
      </c>
      <c r="L21" s="120" t="s">
        <v>26</v>
      </c>
      <c r="M21" s="121" t="s">
        <v>25</v>
      </c>
      <c r="N21" s="119" t="s">
        <v>24</v>
      </c>
      <c r="O21" s="120" t="s">
        <v>23</v>
      </c>
    </row>
    <row r="22" spans="2:15" x14ac:dyDescent="0.4">
      <c r="C22" s="105" t="s">
        <v>88</v>
      </c>
      <c r="F22" s="122">
        <v>1</v>
      </c>
      <c r="G22" s="123">
        <v>49</v>
      </c>
      <c r="H22" s="124">
        <v>88</v>
      </c>
      <c r="I22" s="124">
        <v>193</v>
      </c>
      <c r="J22" s="124">
        <v>251</v>
      </c>
      <c r="K22" s="124">
        <v>323</v>
      </c>
      <c r="L22" s="124">
        <v>391</v>
      </c>
      <c r="M22" s="125">
        <v>104</v>
      </c>
      <c r="N22" s="123">
        <v>8</v>
      </c>
      <c r="O22" s="124">
        <f>SUM(G22:N22)</f>
        <v>1407</v>
      </c>
    </row>
    <row r="23" spans="2:15" x14ac:dyDescent="0.4">
      <c r="C23" s="105" t="s">
        <v>87</v>
      </c>
      <c r="F23" s="122">
        <v>2</v>
      </c>
      <c r="G23" s="123">
        <v>116</v>
      </c>
      <c r="H23" s="124">
        <v>149</v>
      </c>
      <c r="I23" s="124">
        <v>234</v>
      </c>
      <c r="J23" s="124">
        <v>171</v>
      </c>
      <c r="K23" s="124">
        <v>175</v>
      </c>
      <c r="L23" s="124">
        <v>131</v>
      </c>
      <c r="M23" s="125">
        <v>31</v>
      </c>
      <c r="N23" s="123">
        <v>1</v>
      </c>
      <c r="O23" s="124">
        <f t="shared" ref="O23:O25" si="3">SUM(G23:N23)</f>
        <v>1008</v>
      </c>
    </row>
    <row r="24" spans="2:15" x14ac:dyDescent="0.4">
      <c r="C24" s="105" t="s">
        <v>86</v>
      </c>
      <c r="F24" s="122">
        <v>3</v>
      </c>
      <c r="G24" s="123">
        <v>159</v>
      </c>
      <c r="H24" s="124">
        <v>142</v>
      </c>
      <c r="I24" s="124">
        <v>235</v>
      </c>
      <c r="J24" s="124">
        <v>174</v>
      </c>
      <c r="K24" s="124">
        <v>161</v>
      </c>
      <c r="L24" s="124">
        <v>130</v>
      </c>
      <c r="M24" s="125">
        <v>22</v>
      </c>
      <c r="N24" s="123">
        <v>0</v>
      </c>
      <c r="O24" s="124">
        <f t="shared" si="3"/>
        <v>1023</v>
      </c>
    </row>
    <row r="25" spans="2:15" x14ac:dyDescent="0.4">
      <c r="C25" s="105" t="s">
        <v>85</v>
      </c>
      <c r="F25" s="137">
        <v>4</v>
      </c>
      <c r="G25" s="138">
        <v>344</v>
      </c>
      <c r="H25" s="129">
        <v>297</v>
      </c>
      <c r="I25" s="129">
        <v>415</v>
      </c>
      <c r="J25" s="129">
        <v>303</v>
      </c>
      <c r="K25" s="129">
        <v>429</v>
      </c>
      <c r="L25" s="129">
        <v>406</v>
      </c>
      <c r="M25" s="139">
        <v>97</v>
      </c>
      <c r="N25" s="123">
        <v>2</v>
      </c>
      <c r="O25" s="124">
        <f t="shared" si="3"/>
        <v>2293</v>
      </c>
    </row>
    <row r="26" spans="2:15" x14ac:dyDescent="0.4">
      <c r="F26" s="140" t="s">
        <v>18</v>
      </c>
      <c r="G26" s="138">
        <v>0</v>
      </c>
      <c r="H26" s="129">
        <v>0</v>
      </c>
      <c r="I26" s="129">
        <v>2</v>
      </c>
      <c r="J26" s="129">
        <v>2</v>
      </c>
      <c r="K26" s="129">
        <v>7</v>
      </c>
      <c r="L26" s="129">
        <v>23</v>
      </c>
      <c r="M26" s="139">
        <v>10</v>
      </c>
      <c r="N26" s="123">
        <v>2</v>
      </c>
      <c r="O26" s="124">
        <f>SUM(G26:N26)</f>
        <v>46</v>
      </c>
    </row>
    <row r="27" spans="2:15" x14ac:dyDescent="0.4">
      <c r="B27" s="105" t="s">
        <v>54</v>
      </c>
      <c r="F27" s="141" t="s">
        <v>23</v>
      </c>
      <c r="G27" s="138">
        <f>SUM(G22:G26)</f>
        <v>668</v>
      </c>
      <c r="H27" s="138">
        <f t="shared" ref="H27:O27" si="4">SUM(H22:H26)</f>
        <v>676</v>
      </c>
      <c r="I27" s="138">
        <f t="shared" si="4"/>
        <v>1079</v>
      </c>
      <c r="J27" s="138">
        <f t="shared" si="4"/>
        <v>901</v>
      </c>
      <c r="K27" s="138">
        <f t="shared" si="4"/>
        <v>1095</v>
      </c>
      <c r="L27" s="138">
        <f t="shared" si="4"/>
        <v>1081</v>
      </c>
      <c r="M27" s="138">
        <f t="shared" si="4"/>
        <v>264</v>
      </c>
      <c r="N27" s="138">
        <f t="shared" si="4"/>
        <v>13</v>
      </c>
      <c r="O27" s="138">
        <f t="shared" si="4"/>
        <v>5777</v>
      </c>
    </row>
    <row r="28" spans="2:15" x14ac:dyDescent="0.4">
      <c r="B28" s="105" t="s">
        <v>84</v>
      </c>
    </row>
    <row r="29" spans="2:15" x14ac:dyDescent="0.4">
      <c r="D29" s="105" t="s">
        <v>83</v>
      </c>
      <c r="G29" s="114" t="s">
        <v>31</v>
      </c>
      <c r="H29" s="114" t="s">
        <v>30</v>
      </c>
      <c r="I29" s="114" t="s">
        <v>29</v>
      </c>
      <c r="J29" s="114" t="s">
        <v>28</v>
      </c>
      <c r="K29" s="114" t="s">
        <v>27</v>
      </c>
      <c r="L29" s="114" t="s">
        <v>26</v>
      </c>
      <c r="M29" s="114" t="s">
        <v>25</v>
      </c>
      <c r="N29" s="114" t="s">
        <v>63</v>
      </c>
    </row>
    <row r="30" spans="2:15" x14ac:dyDescent="0.4">
      <c r="B30" s="105" t="s">
        <v>82</v>
      </c>
      <c r="G30" s="142">
        <f>SUM(G22:G24)/G27</f>
        <v>0.48502994011976047</v>
      </c>
      <c r="H30" s="142">
        <f t="shared" ref="H30:N30" si="5">SUM(H22:H24)/H27</f>
        <v>0.56065088757396453</v>
      </c>
      <c r="I30" s="142">
        <f t="shared" si="5"/>
        <v>0.61353104726598706</v>
      </c>
      <c r="J30" s="142">
        <f t="shared" si="5"/>
        <v>0.66148723640399554</v>
      </c>
      <c r="K30" s="142">
        <f t="shared" si="5"/>
        <v>0.60182648401826488</v>
      </c>
      <c r="L30" s="142">
        <f t="shared" si="5"/>
        <v>0.60314523589269198</v>
      </c>
      <c r="M30" s="142">
        <f t="shared" si="5"/>
        <v>0.59469696969696972</v>
      </c>
      <c r="N30" s="142">
        <f t="shared" si="5"/>
        <v>0.69230769230769229</v>
      </c>
    </row>
    <row r="31" spans="2:15" x14ac:dyDescent="0.4">
      <c r="D31" s="105" t="s">
        <v>81</v>
      </c>
    </row>
    <row r="33" spans="2:15" x14ac:dyDescent="0.4">
      <c r="B33" s="105" t="s">
        <v>80</v>
      </c>
      <c r="O33" s="112" t="s">
        <v>32</v>
      </c>
    </row>
    <row r="34" spans="2:15" ht="9" customHeight="1" x14ac:dyDescent="0.4">
      <c r="O34" s="112"/>
    </row>
    <row r="35" spans="2:15" x14ac:dyDescent="0.4">
      <c r="C35" s="105" t="s">
        <v>22</v>
      </c>
      <c r="D35" s="143"/>
      <c r="F35" s="118"/>
      <c r="G35" s="119" t="s">
        <v>31</v>
      </c>
      <c r="H35" s="120" t="s">
        <v>30</v>
      </c>
      <c r="I35" s="120" t="s">
        <v>29</v>
      </c>
      <c r="J35" s="120" t="s">
        <v>28</v>
      </c>
      <c r="K35" s="120" t="s">
        <v>27</v>
      </c>
      <c r="L35" s="120" t="s">
        <v>26</v>
      </c>
      <c r="M35" s="121" t="s">
        <v>25</v>
      </c>
      <c r="N35" s="119" t="s">
        <v>24</v>
      </c>
      <c r="O35" s="120" t="s">
        <v>23</v>
      </c>
    </row>
    <row r="36" spans="2:15" x14ac:dyDescent="0.4">
      <c r="C36" s="105" t="s">
        <v>75</v>
      </c>
      <c r="D36" s="144">
        <f>O36/$O$39</f>
        <v>0.32421672148173791</v>
      </c>
      <c r="F36" s="122">
        <v>1</v>
      </c>
      <c r="G36" s="123">
        <v>179</v>
      </c>
      <c r="H36" s="124">
        <v>218</v>
      </c>
      <c r="I36" s="124">
        <v>363</v>
      </c>
      <c r="J36" s="124">
        <v>285</v>
      </c>
      <c r="K36" s="124">
        <v>344</v>
      </c>
      <c r="L36" s="124">
        <v>386</v>
      </c>
      <c r="M36" s="125">
        <v>94</v>
      </c>
      <c r="N36" s="123">
        <v>4</v>
      </c>
      <c r="O36" s="124">
        <f>SUM(G36:N36)</f>
        <v>1873</v>
      </c>
    </row>
    <row r="37" spans="2:15" x14ac:dyDescent="0.4">
      <c r="C37" s="105" t="s">
        <v>74</v>
      </c>
      <c r="D37" s="144">
        <f t="shared" ref="D37:D38" si="6">O37/$O$39</f>
        <v>0.67059027176735331</v>
      </c>
      <c r="F37" s="122">
        <v>2</v>
      </c>
      <c r="G37" s="123">
        <v>489</v>
      </c>
      <c r="H37" s="124">
        <v>456</v>
      </c>
      <c r="I37" s="124">
        <v>715</v>
      </c>
      <c r="J37" s="124">
        <v>615</v>
      </c>
      <c r="K37" s="124">
        <v>745</v>
      </c>
      <c r="L37" s="124">
        <v>679</v>
      </c>
      <c r="M37" s="125">
        <v>167</v>
      </c>
      <c r="N37" s="123">
        <v>8</v>
      </c>
      <c r="O37" s="124">
        <f t="shared" ref="O37:O38" si="7">SUM(G37:N37)</f>
        <v>3874</v>
      </c>
    </row>
    <row r="38" spans="2:15" x14ac:dyDescent="0.4">
      <c r="C38" s="145" t="s">
        <v>18</v>
      </c>
      <c r="D38" s="144">
        <f t="shared" si="6"/>
        <v>5.1930067509087761E-3</v>
      </c>
      <c r="F38" s="140" t="s">
        <v>18</v>
      </c>
      <c r="G38" s="138">
        <v>0</v>
      </c>
      <c r="H38" s="129">
        <v>2</v>
      </c>
      <c r="I38" s="129">
        <v>1</v>
      </c>
      <c r="J38" s="129">
        <v>1</v>
      </c>
      <c r="K38" s="129">
        <v>6</v>
      </c>
      <c r="L38" s="129">
        <v>16</v>
      </c>
      <c r="M38" s="139">
        <v>3</v>
      </c>
      <c r="N38" s="123">
        <v>1</v>
      </c>
      <c r="O38" s="124">
        <f t="shared" si="7"/>
        <v>30</v>
      </c>
    </row>
    <row r="39" spans="2:15" x14ac:dyDescent="0.4">
      <c r="F39" s="141" t="s">
        <v>23</v>
      </c>
      <c r="G39" s="138">
        <f>SUM(G36:G38)</f>
        <v>668</v>
      </c>
      <c r="H39" s="138">
        <f t="shared" ref="H39:O39" si="8">SUM(H36:H38)</f>
        <v>676</v>
      </c>
      <c r="I39" s="138">
        <f t="shared" si="8"/>
        <v>1079</v>
      </c>
      <c r="J39" s="138">
        <f t="shared" si="8"/>
        <v>901</v>
      </c>
      <c r="K39" s="138">
        <f t="shared" si="8"/>
        <v>1095</v>
      </c>
      <c r="L39" s="138">
        <f t="shared" si="8"/>
        <v>1081</v>
      </c>
      <c r="M39" s="138">
        <f t="shared" si="8"/>
        <v>264</v>
      </c>
      <c r="N39" s="138">
        <f t="shared" si="8"/>
        <v>13</v>
      </c>
      <c r="O39" s="138">
        <f t="shared" si="8"/>
        <v>5777</v>
      </c>
    </row>
    <row r="41" spans="2:15" x14ac:dyDescent="0.4">
      <c r="B41" s="105" t="s">
        <v>54</v>
      </c>
      <c r="G41" s="114" t="s">
        <v>31</v>
      </c>
      <c r="H41" s="114" t="s">
        <v>30</v>
      </c>
      <c r="I41" s="114" t="s">
        <v>29</v>
      </c>
      <c r="J41" s="114" t="s">
        <v>28</v>
      </c>
      <c r="K41" s="114" t="s">
        <v>27</v>
      </c>
      <c r="L41" s="114" t="s">
        <v>26</v>
      </c>
      <c r="M41" s="114" t="s">
        <v>25</v>
      </c>
      <c r="N41" s="114" t="s">
        <v>63</v>
      </c>
    </row>
    <row r="42" spans="2:15" x14ac:dyDescent="0.4">
      <c r="B42" s="105" t="s">
        <v>79</v>
      </c>
      <c r="G42" s="142">
        <f>G36/G39</f>
        <v>0.2679640718562874</v>
      </c>
      <c r="H42" s="142">
        <f t="shared" ref="H42:N42" si="9">H36/H39</f>
        <v>0.3224852071005917</v>
      </c>
      <c r="I42" s="142">
        <f t="shared" si="9"/>
        <v>0.33642261353104724</v>
      </c>
      <c r="J42" s="142">
        <f t="shared" si="9"/>
        <v>0.31631520532741397</v>
      </c>
      <c r="K42" s="142">
        <f t="shared" si="9"/>
        <v>0.31415525114155252</v>
      </c>
      <c r="L42" s="142">
        <f t="shared" si="9"/>
        <v>0.35707678075855687</v>
      </c>
      <c r="M42" s="142">
        <f t="shared" si="9"/>
        <v>0.35606060606060608</v>
      </c>
      <c r="N42" s="142">
        <f t="shared" si="9"/>
        <v>0.30769230769230771</v>
      </c>
    </row>
    <row r="43" spans="2:15" x14ac:dyDescent="0.4">
      <c r="D43" s="105" t="s">
        <v>78</v>
      </c>
    </row>
    <row r="45" spans="2:15" x14ac:dyDescent="0.4">
      <c r="B45" s="105" t="s">
        <v>77</v>
      </c>
      <c r="O45" s="112" t="s">
        <v>32</v>
      </c>
    </row>
    <row r="46" spans="2:15" ht="9" customHeight="1" x14ac:dyDescent="0.4">
      <c r="O46" s="112"/>
    </row>
    <row r="47" spans="2:15" x14ac:dyDescent="0.4">
      <c r="B47" s="146"/>
      <c r="C47" s="105" t="s">
        <v>22</v>
      </c>
      <c r="D47" s="143"/>
      <c r="F47" s="118"/>
      <c r="G47" s="119" t="s">
        <v>31</v>
      </c>
      <c r="H47" s="120" t="s">
        <v>30</v>
      </c>
      <c r="I47" s="120" t="s">
        <v>29</v>
      </c>
      <c r="J47" s="120" t="s">
        <v>28</v>
      </c>
      <c r="K47" s="120" t="s">
        <v>27</v>
      </c>
      <c r="L47" s="120" t="s">
        <v>26</v>
      </c>
      <c r="M47" s="121" t="s">
        <v>25</v>
      </c>
      <c r="N47" s="119" t="s">
        <v>24</v>
      </c>
      <c r="O47" s="120" t="s">
        <v>23</v>
      </c>
    </row>
    <row r="48" spans="2:15" x14ac:dyDescent="0.4">
      <c r="C48" s="105" t="s">
        <v>75</v>
      </c>
      <c r="D48" s="144">
        <f>O48/$O$51</f>
        <v>0.15994460792799031</v>
      </c>
      <c r="F48" s="122">
        <v>1</v>
      </c>
      <c r="G48" s="123">
        <v>146</v>
      </c>
      <c r="H48" s="124">
        <v>142</v>
      </c>
      <c r="I48" s="124">
        <v>216</v>
      </c>
      <c r="J48" s="124">
        <v>161</v>
      </c>
      <c r="K48" s="124">
        <v>142</v>
      </c>
      <c r="L48" s="124">
        <v>100</v>
      </c>
      <c r="M48" s="125">
        <v>17</v>
      </c>
      <c r="N48" s="123">
        <v>0</v>
      </c>
      <c r="O48" s="124">
        <f>SUM(G48:N48)</f>
        <v>924</v>
      </c>
    </row>
    <row r="49" spans="2:15" x14ac:dyDescent="0.4">
      <c r="C49" s="105" t="s">
        <v>74</v>
      </c>
      <c r="D49" s="144">
        <f>O49/$O$51</f>
        <v>0.82049506664358662</v>
      </c>
      <c r="F49" s="122">
        <v>2</v>
      </c>
      <c r="G49" s="123">
        <v>521</v>
      </c>
      <c r="H49" s="124">
        <v>530</v>
      </c>
      <c r="I49" s="124">
        <v>856</v>
      </c>
      <c r="J49" s="124">
        <v>724</v>
      </c>
      <c r="K49" s="124">
        <v>924</v>
      </c>
      <c r="L49" s="124">
        <v>939</v>
      </c>
      <c r="M49" s="125">
        <v>238</v>
      </c>
      <c r="N49" s="123">
        <v>8</v>
      </c>
      <c r="O49" s="124">
        <f t="shared" ref="O49:O50" si="10">SUM(G49:N49)</f>
        <v>4740</v>
      </c>
    </row>
    <row r="50" spans="2:15" x14ac:dyDescent="0.4">
      <c r="C50" s="145" t="s">
        <v>18</v>
      </c>
      <c r="D50" s="144">
        <f>O50/$O$51</f>
        <v>1.9560325428423057E-2</v>
      </c>
      <c r="F50" s="140" t="s">
        <v>18</v>
      </c>
      <c r="G50" s="138">
        <v>1</v>
      </c>
      <c r="H50" s="129">
        <v>4</v>
      </c>
      <c r="I50" s="129">
        <v>7</v>
      </c>
      <c r="J50" s="129">
        <v>16</v>
      </c>
      <c r="K50" s="129">
        <v>29</v>
      </c>
      <c r="L50" s="129">
        <v>42</v>
      </c>
      <c r="M50" s="139">
        <v>9</v>
      </c>
      <c r="N50" s="123">
        <v>5</v>
      </c>
      <c r="O50" s="124">
        <f t="shared" si="10"/>
        <v>113</v>
      </c>
    </row>
    <row r="51" spans="2:15" x14ac:dyDescent="0.4">
      <c r="F51" s="141" t="s">
        <v>23</v>
      </c>
      <c r="G51" s="138">
        <f>SUM(G48:G50)</f>
        <v>668</v>
      </c>
      <c r="H51" s="138">
        <f t="shared" ref="H51:O51" si="11">SUM(H48:H50)</f>
        <v>676</v>
      </c>
      <c r="I51" s="138">
        <f t="shared" si="11"/>
        <v>1079</v>
      </c>
      <c r="J51" s="138">
        <f t="shared" si="11"/>
        <v>901</v>
      </c>
      <c r="K51" s="138">
        <f t="shared" si="11"/>
        <v>1095</v>
      </c>
      <c r="L51" s="138">
        <f t="shared" si="11"/>
        <v>1081</v>
      </c>
      <c r="M51" s="138">
        <f t="shared" si="11"/>
        <v>264</v>
      </c>
      <c r="N51" s="138">
        <f t="shared" si="11"/>
        <v>13</v>
      </c>
      <c r="O51" s="138">
        <f t="shared" si="11"/>
        <v>5777</v>
      </c>
    </row>
    <row r="53" spans="2:15" x14ac:dyDescent="0.4">
      <c r="G53" s="114" t="s">
        <v>31</v>
      </c>
      <c r="H53" s="114" t="s">
        <v>30</v>
      </c>
      <c r="I53" s="114" t="s">
        <v>29</v>
      </c>
      <c r="J53" s="114" t="s">
        <v>28</v>
      </c>
      <c r="K53" s="114" t="s">
        <v>27</v>
      </c>
      <c r="L53" s="114" t="s">
        <v>26</v>
      </c>
      <c r="M53" s="114" t="s">
        <v>25</v>
      </c>
      <c r="N53" s="114" t="s">
        <v>63</v>
      </c>
    </row>
    <row r="54" spans="2:15" x14ac:dyDescent="0.4">
      <c r="G54" s="142">
        <f>G48/G51</f>
        <v>0.21856287425149701</v>
      </c>
      <c r="H54" s="142">
        <f t="shared" ref="H54:N54" si="12">H48/H51</f>
        <v>0.21005917159763313</v>
      </c>
      <c r="I54" s="142">
        <f t="shared" si="12"/>
        <v>0.20018535681186284</v>
      </c>
      <c r="J54" s="142">
        <f t="shared" si="12"/>
        <v>0.17869034406215317</v>
      </c>
      <c r="K54" s="142">
        <f t="shared" si="12"/>
        <v>0.12968036529680366</v>
      </c>
      <c r="L54" s="142">
        <f t="shared" si="12"/>
        <v>9.2506938020351523E-2</v>
      </c>
      <c r="M54" s="142">
        <f t="shared" si="12"/>
        <v>6.4393939393939392E-2</v>
      </c>
      <c r="N54" s="142">
        <f t="shared" si="12"/>
        <v>0</v>
      </c>
    </row>
    <row r="56" spans="2:15" x14ac:dyDescent="0.4">
      <c r="B56" s="105" t="s">
        <v>76</v>
      </c>
      <c r="O56" s="112" t="s">
        <v>32</v>
      </c>
    </row>
    <row r="57" spans="2:15" ht="9" customHeight="1" x14ac:dyDescent="0.4">
      <c r="O57" s="112"/>
    </row>
    <row r="58" spans="2:15" x14ac:dyDescent="0.4">
      <c r="B58" s="146"/>
      <c r="C58" s="105" t="s">
        <v>22</v>
      </c>
      <c r="D58" s="143"/>
      <c r="F58" s="118"/>
      <c r="G58" s="119" t="s">
        <v>31</v>
      </c>
      <c r="H58" s="120" t="s">
        <v>30</v>
      </c>
      <c r="I58" s="120" t="s">
        <v>29</v>
      </c>
      <c r="J58" s="120" t="s">
        <v>28</v>
      </c>
      <c r="K58" s="120" t="s">
        <v>27</v>
      </c>
      <c r="L58" s="120" t="s">
        <v>26</v>
      </c>
      <c r="M58" s="121" t="s">
        <v>25</v>
      </c>
      <c r="N58" s="119" t="s">
        <v>24</v>
      </c>
      <c r="O58" s="120" t="s">
        <v>23</v>
      </c>
    </row>
    <row r="59" spans="2:15" x14ac:dyDescent="0.4">
      <c r="C59" s="105" t="s">
        <v>75</v>
      </c>
      <c r="D59" s="144">
        <f>O59/$O$62</f>
        <v>5.3487969534360393E-2</v>
      </c>
      <c r="F59" s="122">
        <v>1</v>
      </c>
      <c r="G59" s="123">
        <v>20</v>
      </c>
      <c r="H59" s="124">
        <v>19</v>
      </c>
      <c r="I59" s="124">
        <v>63</v>
      </c>
      <c r="J59" s="124">
        <v>73</v>
      </c>
      <c r="K59" s="124">
        <v>69</v>
      </c>
      <c r="L59" s="124">
        <v>58</v>
      </c>
      <c r="M59" s="125">
        <v>7</v>
      </c>
      <c r="N59" s="123">
        <v>0</v>
      </c>
      <c r="O59" s="124">
        <f>SUM(G59:N59)</f>
        <v>309</v>
      </c>
    </row>
    <row r="60" spans="2:15" x14ac:dyDescent="0.4">
      <c r="C60" s="105" t="s">
        <v>74</v>
      </c>
      <c r="D60" s="144">
        <f t="shared" ref="D60:D61" si="13">O60/$O$62</f>
        <v>0.90410247533321797</v>
      </c>
      <c r="F60" s="122">
        <v>2</v>
      </c>
      <c r="G60" s="123">
        <v>637</v>
      </c>
      <c r="H60" s="124">
        <v>641</v>
      </c>
      <c r="I60" s="124">
        <v>995</v>
      </c>
      <c r="J60" s="124">
        <v>801</v>
      </c>
      <c r="K60" s="124">
        <v>963</v>
      </c>
      <c r="L60" s="124">
        <v>947</v>
      </c>
      <c r="M60" s="125">
        <v>231</v>
      </c>
      <c r="N60" s="123">
        <v>8</v>
      </c>
      <c r="O60" s="124">
        <f t="shared" ref="O60:O61" si="14">SUM(G60:N60)</f>
        <v>5223</v>
      </c>
    </row>
    <row r="61" spans="2:15" x14ac:dyDescent="0.4">
      <c r="C61" s="145" t="s">
        <v>18</v>
      </c>
      <c r="D61" s="144">
        <f t="shared" si="13"/>
        <v>4.2409555132421672E-2</v>
      </c>
      <c r="F61" s="140" t="s">
        <v>18</v>
      </c>
      <c r="G61" s="138">
        <v>11</v>
      </c>
      <c r="H61" s="129">
        <v>16</v>
      </c>
      <c r="I61" s="129">
        <v>21</v>
      </c>
      <c r="J61" s="129">
        <v>27</v>
      </c>
      <c r="K61" s="129">
        <v>63</v>
      </c>
      <c r="L61" s="129">
        <v>76</v>
      </c>
      <c r="M61" s="139">
        <v>26</v>
      </c>
      <c r="N61" s="123">
        <v>5</v>
      </c>
      <c r="O61" s="124">
        <f t="shared" si="14"/>
        <v>245</v>
      </c>
    </row>
    <row r="62" spans="2:15" x14ac:dyDescent="0.4">
      <c r="F62" s="141" t="s">
        <v>23</v>
      </c>
      <c r="G62" s="138">
        <f>SUM(G59:G61)</f>
        <v>668</v>
      </c>
      <c r="H62" s="138">
        <f t="shared" ref="H62:O62" si="15">SUM(H59:H61)</f>
        <v>676</v>
      </c>
      <c r="I62" s="138">
        <f t="shared" si="15"/>
        <v>1079</v>
      </c>
      <c r="J62" s="138">
        <f t="shared" si="15"/>
        <v>901</v>
      </c>
      <c r="K62" s="138">
        <f t="shared" si="15"/>
        <v>1095</v>
      </c>
      <c r="L62" s="138">
        <f t="shared" si="15"/>
        <v>1081</v>
      </c>
      <c r="M62" s="138">
        <f t="shared" si="15"/>
        <v>264</v>
      </c>
      <c r="N62" s="138">
        <f t="shared" si="15"/>
        <v>13</v>
      </c>
      <c r="O62" s="138">
        <f t="shared" si="15"/>
        <v>5777</v>
      </c>
    </row>
    <row r="64" spans="2:15" x14ac:dyDescent="0.4">
      <c r="G64" s="114" t="s">
        <v>31</v>
      </c>
      <c r="H64" s="114" t="s">
        <v>30</v>
      </c>
      <c r="I64" s="114" t="s">
        <v>29</v>
      </c>
      <c r="J64" s="114" t="s">
        <v>28</v>
      </c>
      <c r="K64" s="114" t="s">
        <v>27</v>
      </c>
      <c r="L64" s="114" t="s">
        <v>26</v>
      </c>
      <c r="M64" s="114" t="s">
        <v>25</v>
      </c>
      <c r="N64" s="114" t="s">
        <v>63</v>
      </c>
    </row>
    <row r="65" spans="2:15" x14ac:dyDescent="0.4">
      <c r="B65" s="105" t="s">
        <v>54</v>
      </c>
      <c r="G65" s="142">
        <f>G59/G62</f>
        <v>2.9940119760479042E-2</v>
      </c>
      <c r="H65" s="142">
        <f>H59/H62</f>
        <v>2.8106508875739646E-2</v>
      </c>
      <c r="I65" s="142">
        <f t="shared" ref="I65:N65" si="16">I59/I62</f>
        <v>5.8387395736793329E-2</v>
      </c>
      <c r="J65" s="142">
        <f t="shared" si="16"/>
        <v>8.1021087680355167E-2</v>
      </c>
      <c r="K65" s="142">
        <f t="shared" si="16"/>
        <v>6.3013698630136991E-2</v>
      </c>
      <c r="L65" s="142">
        <f t="shared" si="16"/>
        <v>5.3654024051803882E-2</v>
      </c>
      <c r="M65" s="142">
        <f t="shared" si="16"/>
        <v>2.6515151515151516E-2</v>
      </c>
      <c r="N65" s="142">
        <f t="shared" si="16"/>
        <v>0</v>
      </c>
    </row>
    <row r="66" spans="2:15" ht="13.5" customHeight="1" x14ac:dyDescent="0.4">
      <c r="B66" s="105" t="s">
        <v>73</v>
      </c>
    </row>
    <row r="67" spans="2:15" x14ac:dyDescent="0.4">
      <c r="D67" s="105" t="s">
        <v>72</v>
      </c>
    </row>
    <row r="68" spans="2:15" x14ac:dyDescent="0.4">
      <c r="C68" s="105" t="s">
        <v>71</v>
      </c>
    </row>
    <row r="69" spans="2:15" x14ac:dyDescent="0.4">
      <c r="G69" s="114" t="s">
        <v>31</v>
      </c>
      <c r="H69" s="114" t="s">
        <v>30</v>
      </c>
      <c r="I69" s="114" t="s">
        <v>29</v>
      </c>
      <c r="J69" s="114" t="s">
        <v>28</v>
      </c>
      <c r="K69" s="114" t="s">
        <v>27</v>
      </c>
      <c r="L69" s="114" t="s">
        <v>26</v>
      </c>
      <c r="M69" s="114" t="s">
        <v>25</v>
      </c>
      <c r="N69" s="114" t="s">
        <v>63</v>
      </c>
      <c r="O69" s="114" t="s">
        <v>70</v>
      </c>
    </row>
    <row r="70" spans="2:15" x14ac:dyDescent="0.4">
      <c r="F70" s="147" t="s">
        <v>58</v>
      </c>
      <c r="G70" s="148">
        <v>664</v>
      </c>
      <c r="H70" s="148">
        <v>672</v>
      </c>
      <c r="I70" s="148">
        <v>1069</v>
      </c>
      <c r="J70" s="148">
        <v>887</v>
      </c>
      <c r="K70" s="148">
        <v>1055</v>
      </c>
      <c r="L70" s="148">
        <v>1020</v>
      </c>
      <c r="M70" s="148">
        <v>241</v>
      </c>
      <c r="N70" s="148">
        <v>7</v>
      </c>
      <c r="O70" s="148">
        <f>SUM(G70:N70)</f>
        <v>5615</v>
      </c>
    </row>
    <row r="71" spans="2:15" x14ac:dyDescent="0.4">
      <c r="F71" s="149" t="s">
        <v>69</v>
      </c>
      <c r="G71" s="148">
        <v>151</v>
      </c>
      <c r="H71" s="148">
        <v>147</v>
      </c>
      <c r="I71" s="148">
        <v>248</v>
      </c>
      <c r="J71" s="148">
        <v>202</v>
      </c>
      <c r="K71" s="148">
        <v>181</v>
      </c>
      <c r="L71" s="148">
        <v>137</v>
      </c>
      <c r="M71" s="148">
        <v>23</v>
      </c>
      <c r="N71" s="148">
        <v>0</v>
      </c>
      <c r="O71" s="148">
        <f>SUM(G71:N71)</f>
        <v>1089</v>
      </c>
    </row>
    <row r="72" spans="2:15" x14ac:dyDescent="0.4">
      <c r="F72" s="150" t="s">
        <v>68</v>
      </c>
      <c r="G72" s="151">
        <f>G71/G70</f>
        <v>0.22740963855421686</v>
      </c>
      <c r="H72" s="151">
        <f t="shared" ref="H72:O72" si="17">H71/H70</f>
        <v>0.21875</v>
      </c>
      <c r="I72" s="151">
        <f t="shared" si="17"/>
        <v>0.23199251637043966</v>
      </c>
      <c r="J72" s="151">
        <f t="shared" si="17"/>
        <v>0.22773393461104849</v>
      </c>
      <c r="K72" s="151">
        <f t="shared" si="17"/>
        <v>0.17156398104265402</v>
      </c>
      <c r="L72" s="151">
        <f t="shared" si="17"/>
        <v>0.13431372549019607</v>
      </c>
      <c r="M72" s="151">
        <f t="shared" si="17"/>
        <v>9.5435684647302899E-2</v>
      </c>
      <c r="N72" s="151">
        <f t="shared" si="17"/>
        <v>0</v>
      </c>
      <c r="O72" s="151">
        <f t="shared" si="17"/>
        <v>0.19394479073909171</v>
      </c>
    </row>
    <row r="74" spans="2:15" x14ac:dyDescent="0.4">
      <c r="B74" s="105" t="s">
        <v>67</v>
      </c>
      <c r="O74" s="112" t="s">
        <v>32</v>
      </c>
    </row>
    <row r="75" spans="2:15" ht="9" customHeight="1" x14ac:dyDescent="0.4">
      <c r="O75" s="112"/>
    </row>
    <row r="76" spans="2:15" x14ac:dyDescent="0.4">
      <c r="B76" s="146"/>
      <c r="D76" s="143"/>
      <c r="F76" s="118"/>
      <c r="G76" s="119" t="s">
        <v>31</v>
      </c>
      <c r="H76" s="120" t="s">
        <v>30</v>
      </c>
      <c r="I76" s="120" t="s">
        <v>29</v>
      </c>
      <c r="J76" s="120" t="s">
        <v>28</v>
      </c>
      <c r="K76" s="120" t="s">
        <v>27</v>
      </c>
      <c r="L76" s="120" t="s">
        <v>26</v>
      </c>
      <c r="M76" s="121" t="s">
        <v>25</v>
      </c>
      <c r="N76" s="119" t="s">
        <v>24</v>
      </c>
      <c r="O76" s="120" t="s">
        <v>23</v>
      </c>
    </row>
    <row r="77" spans="2:15" x14ac:dyDescent="0.4">
      <c r="C77" s="152" t="s">
        <v>66</v>
      </c>
      <c r="D77" s="144"/>
      <c r="F77" s="122">
        <v>1</v>
      </c>
      <c r="G77" s="123">
        <v>605</v>
      </c>
      <c r="H77" s="124">
        <v>598</v>
      </c>
      <c r="I77" s="124">
        <v>910</v>
      </c>
      <c r="J77" s="124">
        <v>678</v>
      </c>
      <c r="K77" s="124">
        <v>756</v>
      </c>
      <c r="L77" s="124">
        <v>769</v>
      </c>
      <c r="M77" s="125">
        <v>190</v>
      </c>
      <c r="N77" s="123">
        <v>10</v>
      </c>
      <c r="O77" s="124">
        <f>SUM(G77:N77)</f>
        <v>4516</v>
      </c>
    </row>
    <row r="78" spans="2:15" x14ac:dyDescent="0.4">
      <c r="C78" s="153" t="s">
        <v>65</v>
      </c>
      <c r="D78" s="144"/>
      <c r="F78" s="122">
        <v>2</v>
      </c>
      <c r="G78" s="123">
        <v>63</v>
      </c>
      <c r="H78" s="124">
        <v>76</v>
      </c>
      <c r="I78" s="124">
        <v>166</v>
      </c>
      <c r="J78" s="124">
        <v>213</v>
      </c>
      <c r="K78" s="124">
        <v>317</v>
      </c>
      <c r="L78" s="124">
        <v>280</v>
      </c>
      <c r="M78" s="125">
        <v>59</v>
      </c>
      <c r="N78" s="123">
        <v>2</v>
      </c>
      <c r="O78" s="124">
        <f t="shared" ref="O78:O80" si="18">SUM(G78:N78)</f>
        <v>1176</v>
      </c>
    </row>
    <row r="79" spans="2:15" x14ac:dyDescent="0.4">
      <c r="C79" s="153" t="s">
        <v>64</v>
      </c>
      <c r="D79" s="144"/>
      <c r="F79" s="137">
        <v>3</v>
      </c>
      <c r="G79" s="138">
        <v>0</v>
      </c>
      <c r="H79" s="129">
        <v>0</v>
      </c>
      <c r="I79" s="129">
        <v>1</v>
      </c>
      <c r="J79" s="129">
        <v>3</v>
      </c>
      <c r="K79" s="129">
        <v>6</v>
      </c>
      <c r="L79" s="129">
        <v>9</v>
      </c>
      <c r="M79" s="139">
        <v>6</v>
      </c>
      <c r="N79" s="123">
        <v>1</v>
      </c>
      <c r="O79" s="124">
        <f t="shared" si="18"/>
        <v>26</v>
      </c>
    </row>
    <row r="80" spans="2:15" x14ac:dyDescent="0.4">
      <c r="C80" s="145" t="s">
        <v>18</v>
      </c>
      <c r="D80" s="144"/>
      <c r="F80" s="140" t="s">
        <v>18</v>
      </c>
      <c r="G80" s="138">
        <v>0</v>
      </c>
      <c r="H80" s="129">
        <v>2</v>
      </c>
      <c r="I80" s="129">
        <v>2</v>
      </c>
      <c r="J80" s="129">
        <v>7</v>
      </c>
      <c r="K80" s="129">
        <v>16</v>
      </c>
      <c r="L80" s="129">
        <v>23</v>
      </c>
      <c r="M80" s="139">
        <v>9</v>
      </c>
      <c r="N80" s="123">
        <v>0</v>
      </c>
      <c r="O80" s="124">
        <f t="shared" si="18"/>
        <v>59</v>
      </c>
    </row>
    <row r="81" spans="2:15" x14ac:dyDescent="0.4">
      <c r="D81" s="109"/>
      <c r="F81" s="141" t="s">
        <v>23</v>
      </c>
      <c r="G81" s="138">
        <f>SUM(G77:G80)</f>
        <v>668</v>
      </c>
      <c r="H81" s="138">
        <f t="shared" ref="H81:N81" si="19">SUM(H77:H80)</f>
        <v>676</v>
      </c>
      <c r="I81" s="138">
        <f t="shared" si="19"/>
        <v>1079</v>
      </c>
      <c r="J81" s="138">
        <f t="shared" si="19"/>
        <v>901</v>
      </c>
      <c r="K81" s="138">
        <f t="shared" si="19"/>
        <v>1095</v>
      </c>
      <c r="L81" s="138">
        <f t="shared" si="19"/>
        <v>1081</v>
      </c>
      <c r="M81" s="138">
        <f t="shared" si="19"/>
        <v>264</v>
      </c>
      <c r="N81" s="138">
        <f t="shared" si="19"/>
        <v>13</v>
      </c>
      <c r="O81" s="138">
        <f>SUM(O77:O80)</f>
        <v>5777</v>
      </c>
    </row>
    <row r="82" spans="2:15" x14ac:dyDescent="0.4">
      <c r="C82" s="146" t="s">
        <v>22</v>
      </c>
      <c r="D82" s="109"/>
      <c r="F82" s="154"/>
      <c r="G82" s="155"/>
      <c r="H82" s="155"/>
      <c r="I82" s="155"/>
      <c r="J82" s="155"/>
      <c r="K82" s="155"/>
      <c r="L82" s="155"/>
      <c r="M82" s="155"/>
      <c r="N82" s="155"/>
      <c r="O82" s="155"/>
    </row>
    <row r="83" spans="2:15" x14ac:dyDescent="0.4">
      <c r="C83" s="152" t="s">
        <v>66</v>
      </c>
      <c r="D83" s="109"/>
      <c r="F83" s="156">
        <f>O77/$O$81</f>
        <v>0.78172061623680111</v>
      </c>
      <c r="G83" s="155"/>
      <c r="H83" s="155"/>
      <c r="I83" s="155"/>
      <c r="J83" s="155"/>
      <c r="K83" s="155"/>
      <c r="L83" s="155"/>
      <c r="M83" s="155"/>
      <c r="N83" s="155"/>
      <c r="O83" s="155"/>
    </row>
    <row r="84" spans="2:15" x14ac:dyDescent="0.4">
      <c r="C84" s="153" t="s">
        <v>65</v>
      </c>
      <c r="D84" s="109"/>
      <c r="F84" s="156">
        <f>O78/$O$81</f>
        <v>0.20356586463562404</v>
      </c>
      <c r="G84" s="155"/>
      <c r="H84" s="155"/>
      <c r="I84" s="155"/>
      <c r="J84" s="155"/>
      <c r="K84" s="155"/>
      <c r="L84" s="155"/>
      <c r="M84" s="155"/>
      <c r="N84" s="155"/>
      <c r="O84" s="155"/>
    </row>
    <row r="85" spans="2:15" x14ac:dyDescent="0.4">
      <c r="C85" s="153" t="s">
        <v>64</v>
      </c>
      <c r="D85" s="109"/>
      <c r="F85" s="156">
        <f>O79/$O$81</f>
        <v>4.5006058507876057E-3</v>
      </c>
      <c r="G85" s="155"/>
      <c r="H85" s="155"/>
      <c r="I85" s="155"/>
      <c r="J85" s="155"/>
      <c r="K85" s="155"/>
      <c r="L85" s="155"/>
      <c r="M85" s="155"/>
      <c r="N85" s="155"/>
      <c r="O85" s="155"/>
    </row>
    <row r="86" spans="2:15" x14ac:dyDescent="0.4">
      <c r="C86" s="145" t="s">
        <v>18</v>
      </c>
      <c r="D86" s="109"/>
      <c r="F86" s="156">
        <f>O80/$O$81</f>
        <v>1.021291327678726E-2</v>
      </c>
      <c r="G86" s="155"/>
      <c r="H86" s="155"/>
      <c r="I86" s="155"/>
      <c r="J86" s="155"/>
      <c r="K86" s="155"/>
      <c r="L86" s="155"/>
      <c r="M86" s="155"/>
      <c r="N86" s="155"/>
      <c r="O86" s="155"/>
    </row>
    <row r="88" spans="2:15" x14ac:dyDescent="0.4">
      <c r="B88" s="105" t="s">
        <v>54</v>
      </c>
      <c r="G88" s="114" t="s">
        <v>31</v>
      </c>
      <c r="H88" s="114" t="s">
        <v>30</v>
      </c>
      <c r="I88" s="114" t="s">
        <v>29</v>
      </c>
      <c r="J88" s="114" t="s">
        <v>28</v>
      </c>
      <c r="K88" s="114" t="s">
        <v>27</v>
      </c>
      <c r="L88" s="114" t="s">
        <v>26</v>
      </c>
      <c r="M88" s="114" t="s">
        <v>25</v>
      </c>
      <c r="N88" s="114" t="s">
        <v>63</v>
      </c>
    </row>
    <row r="89" spans="2:15" x14ac:dyDescent="0.4">
      <c r="B89" s="105" t="s">
        <v>62</v>
      </c>
      <c r="G89" s="142">
        <f>G77/G81</f>
        <v>0.90568862275449102</v>
      </c>
      <c r="H89" s="142">
        <f t="shared" ref="H89:N89" si="20">H77/H81</f>
        <v>0.88461538461538458</v>
      </c>
      <c r="I89" s="142">
        <f t="shared" si="20"/>
        <v>0.84337349397590367</v>
      </c>
      <c r="J89" s="142">
        <f t="shared" si="20"/>
        <v>0.75249722530521646</v>
      </c>
      <c r="K89" s="142">
        <f t="shared" si="20"/>
        <v>0.69041095890410964</v>
      </c>
      <c r="L89" s="142">
        <f t="shared" si="20"/>
        <v>0.71137835337650324</v>
      </c>
      <c r="M89" s="142">
        <f t="shared" si="20"/>
        <v>0.71969696969696972</v>
      </c>
      <c r="N89" s="142">
        <f t="shared" si="20"/>
        <v>0.76923076923076927</v>
      </c>
    </row>
    <row r="90" spans="2:15" x14ac:dyDescent="0.4">
      <c r="D90" s="105" t="s">
        <v>61</v>
      </c>
    </row>
    <row r="92" spans="2:15" ht="14.25" customHeight="1" x14ac:dyDescent="0.4">
      <c r="B92" s="105" t="s">
        <v>60</v>
      </c>
      <c r="O92" s="112" t="s">
        <v>59</v>
      </c>
    </row>
    <row r="93" spans="2:15" ht="9" customHeight="1" x14ac:dyDescent="0.4"/>
    <row r="94" spans="2:15" ht="14.25" customHeight="1" x14ac:dyDescent="0.4">
      <c r="F94" s="118"/>
      <c r="G94" s="119" t="s">
        <v>31</v>
      </c>
      <c r="H94" s="120" t="s">
        <v>30</v>
      </c>
      <c r="I94" s="120" t="s">
        <v>29</v>
      </c>
      <c r="J94" s="120" t="s">
        <v>28</v>
      </c>
      <c r="K94" s="120" t="s">
        <v>27</v>
      </c>
      <c r="L94" s="120" t="s">
        <v>26</v>
      </c>
      <c r="M94" s="121" t="s">
        <v>25</v>
      </c>
      <c r="N94" s="119" t="s">
        <v>24</v>
      </c>
      <c r="O94" s="120" t="s">
        <v>23</v>
      </c>
    </row>
    <row r="95" spans="2:15" x14ac:dyDescent="0.4">
      <c r="F95" s="157" t="s">
        <v>58</v>
      </c>
      <c r="G95" s="123">
        <v>641</v>
      </c>
      <c r="H95" s="124">
        <v>630</v>
      </c>
      <c r="I95" s="124">
        <v>996</v>
      </c>
      <c r="J95" s="124">
        <v>815</v>
      </c>
      <c r="K95" s="124">
        <v>1007</v>
      </c>
      <c r="L95" s="124">
        <v>995</v>
      </c>
      <c r="M95" s="125">
        <v>221</v>
      </c>
      <c r="N95" s="123">
        <v>11</v>
      </c>
      <c r="O95" s="124">
        <f>SUM(G95:N95)</f>
        <v>5316</v>
      </c>
    </row>
    <row r="96" spans="2:15" x14ac:dyDescent="0.4">
      <c r="F96" s="140" t="s">
        <v>18</v>
      </c>
      <c r="G96" s="123">
        <v>27</v>
      </c>
      <c r="H96" s="124">
        <v>46</v>
      </c>
      <c r="I96" s="124">
        <v>83</v>
      </c>
      <c r="J96" s="124">
        <v>86</v>
      </c>
      <c r="K96" s="124">
        <v>88</v>
      </c>
      <c r="L96" s="124">
        <v>86</v>
      </c>
      <c r="M96" s="125">
        <v>43</v>
      </c>
      <c r="N96" s="123">
        <v>2</v>
      </c>
      <c r="O96" s="124">
        <f t="shared" ref="O96:O97" si="21">SUM(G96:N96)</f>
        <v>461</v>
      </c>
    </row>
    <row r="97" spans="2:15" x14ac:dyDescent="0.4">
      <c r="F97" s="141" t="s">
        <v>23</v>
      </c>
      <c r="G97" s="138">
        <f>SUM(G95:G96)</f>
        <v>668</v>
      </c>
      <c r="H97" s="138">
        <f t="shared" ref="H97:N97" si="22">SUM(H95:H96)</f>
        <v>676</v>
      </c>
      <c r="I97" s="138">
        <f t="shared" si="22"/>
        <v>1079</v>
      </c>
      <c r="J97" s="138">
        <f t="shared" si="22"/>
        <v>901</v>
      </c>
      <c r="K97" s="138">
        <f t="shared" si="22"/>
        <v>1095</v>
      </c>
      <c r="L97" s="138">
        <f t="shared" si="22"/>
        <v>1081</v>
      </c>
      <c r="M97" s="138">
        <f t="shared" si="22"/>
        <v>264</v>
      </c>
      <c r="N97" s="138">
        <f t="shared" si="22"/>
        <v>13</v>
      </c>
      <c r="O97" s="124">
        <f t="shared" si="21"/>
        <v>5777</v>
      </c>
    </row>
    <row r="98" spans="2:15" x14ac:dyDescent="0.4">
      <c r="F98" s="157" t="s">
        <v>57</v>
      </c>
      <c r="G98" s="123">
        <v>0</v>
      </c>
      <c r="H98" s="124">
        <v>12</v>
      </c>
      <c r="I98" s="124">
        <v>0</v>
      </c>
      <c r="J98" s="124">
        <v>0</v>
      </c>
      <c r="K98" s="124">
        <v>0</v>
      </c>
      <c r="L98" s="124">
        <v>0</v>
      </c>
      <c r="M98" s="125">
        <v>0</v>
      </c>
      <c r="N98" s="123">
        <v>0</v>
      </c>
      <c r="O98" s="158"/>
    </row>
    <row r="99" spans="2:15" x14ac:dyDescent="0.4">
      <c r="F99" s="159" t="s">
        <v>56</v>
      </c>
      <c r="G99" s="138">
        <v>32</v>
      </c>
      <c r="H99" s="129">
        <v>32</v>
      </c>
      <c r="I99" s="129">
        <v>32</v>
      </c>
      <c r="J99" s="129">
        <v>32</v>
      </c>
      <c r="K99" s="129">
        <v>30</v>
      </c>
      <c r="L99" s="129">
        <v>30</v>
      </c>
      <c r="M99" s="139">
        <v>28</v>
      </c>
      <c r="N99" s="123">
        <v>27</v>
      </c>
      <c r="O99" s="160"/>
    </row>
    <row r="100" spans="2:15" x14ac:dyDescent="0.4">
      <c r="F100" s="161" t="s">
        <v>55</v>
      </c>
      <c r="G100" s="162">
        <v>27.64430577223089</v>
      </c>
      <c r="H100" s="163">
        <v>27.307936507936507</v>
      </c>
      <c r="I100" s="163">
        <v>26.504016064257026</v>
      </c>
      <c r="J100" s="163">
        <v>24.47116564417178</v>
      </c>
      <c r="K100" s="163">
        <v>19.873882820258192</v>
      </c>
      <c r="L100" s="163">
        <v>17.047236180904523</v>
      </c>
      <c r="M100" s="164">
        <v>13.095022624434389</v>
      </c>
      <c r="N100" s="165">
        <v>7.6363636363636367</v>
      </c>
      <c r="O100" s="160"/>
    </row>
    <row r="101" spans="2:15" x14ac:dyDescent="0.4">
      <c r="B101" s="105" t="s">
        <v>54</v>
      </c>
    </row>
    <row r="102" spans="2:15" x14ac:dyDescent="0.4">
      <c r="B102" s="105" t="s">
        <v>53</v>
      </c>
    </row>
    <row r="103" spans="2:15" x14ac:dyDescent="0.4">
      <c r="D103" s="105" t="s">
        <v>52</v>
      </c>
      <c r="G103" s="105" t="s">
        <v>51</v>
      </c>
      <c r="J103" s="105" t="s">
        <v>50</v>
      </c>
    </row>
    <row r="104" spans="2:15" x14ac:dyDescent="0.4">
      <c r="B104" s="105" t="s">
        <v>49</v>
      </c>
      <c r="G104" s="105" t="s">
        <v>48</v>
      </c>
      <c r="H104" s="109">
        <v>791</v>
      </c>
      <c r="J104" s="105" t="s">
        <v>48</v>
      </c>
      <c r="K104" s="109">
        <v>511</v>
      </c>
    </row>
    <row r="105" spans="2:15" x14ac:dyDescent="0.4">
      <c r="D105" s="105" t="s">
        <v>47</v>
      </c>
      <c r="G105" s="105" t="s">
        <v>46</v>
      </c>
      <c r="H105" s="148">
        <v>19367</v>
      </c>
      <c r="J105" s="105" t="s">
        <v>46</v>
      </c>
      <c r="K105" s="148">
        <v>7920</v>
      </c>
    </row>
    <row r="106" spans="2:15" x14ac:dyDescent="0.4">
      <c r="G106" s="105" t="s">
        <v>45</v>
      </c>
      <c r="H106" s="166">
        <v>22.41550925925926</v>
      </c>
      <c r="J106" s="105" t="s">
        <v>45</v>
      </c>
      <c r="K106" s="166">
        <v>15.499021526418787</v>
      </c>
    </row>
    <row r="107" spans="2:15" x14ac:dyDescent="0.4">
      <c r="G107" s="105" t="s">
        <v>44</v>
      </c>
      <c r="H107" s="109">
        <v>520</v>
      </c>
      <c r="J107" s="105" t="s">
        <v>44</v>
      </c>
      <c r="K107" s="109">
        <v>213</v>
      </c>
    </row>
    <row r="108" spans="2:15" x14ac:dyDescent="0.4">
      <c r="G108" s="105" t="s">
        <v>43</v>
      </c>
      <c r="H108" s="144">
        <f>H107/H104</f>
        <v>0.65739570164348926</v>
      </c>
      <c r="J108" s="105" t="s">
        <v>43</v>
      </c>
      <c r="K108" s="144">
        <f>K107/K104</f>
        <v>0.41682974559686886</v>
      </c>
    </row>
    <row r="109" spans="2:15" x14ac:dyDescent="0.4">
      <c r="G109" s="167"/>
      <c r="J109" s="167"/>
    </row>
    <row r="110" spans="2:15" x14ac:dyDescent="0.4">
      <c r="G110" s="167"/>
      <c r="J110" s="167"/>
    </row>
    <row r="111" spans="2:15" x14ac:dyDescent="0.4">
      <c r="B111" s="105" t="s">
        <v>42</v>
      </c>
      <c r="O111" s="112" t="s">
        <v>32</v>
      </c>
    </row>
    <row r="112" spans="2:15" ht="9" customHeight="1" x14ac:dyDescent="0.4">
      <c r="O112" s="112"/>
    </row>
    <row r="113" spans="2:16" x14ac:dyDescent="0.4">
      <c r="F113" s="118"/>
      <c r="G113" s="119" t="s">
        <v>31</v>
      </c>
      <c r="H113" s="120" t="s">
        <v>30</v>
      </c>
      <c r="I113" s="120" t="s">
        <v>29</v>
      </c>
      <c r="J113" s="120" t="s">
        <v>28</v>
      </c>
      <c r="K113" s="120" t="s">
        <v>27</v>
      </c>
      <c r="L113" s="120" t="s">
        <v>26</v>
      </c>
      <c r="M113" s="121" t="s">
        <v>25</v>
      </c>
      <c r="N113" s="119" t="s">
        <v>24</v>
      </c>
      <c r="O113" s="120" t="s">
        <v>23</v>
      </c>
    </row>
    <row r="114" spans="2:16" x14ac:dyDescent="0.4">
      <c r="C114" s="105" t="s">
        <v>38</v>
      </c>
      <c r="F114" s="122">
        <v>1</v>
      </c>
      <c r="G114" s="123">
        <v>144</v>
      </c>
      <c r="H114" s="124">
        <v>165</v>
      </c>
      <c r="I114" s="124">
        <v>296</v>
      </c>
      <c r="J114" s="124">
        <v>210</v>
      </c>
      <c r="K114" s="124">
        <v>148</v>
      </c>
      <c r="L114" s="124">
        <v>69</v>
      </c>
      <c r="M114" s="125">
        <v>3</v>
      </c>
      <c r="N114" s="123">
        <v>0</v>
      </c>
      <c r="O114" s="124">
        <f>SUM(G114:N114)</f>
        <v>1035</v>
      </c>
    </row>
    <row r="115" spans="2:16" x14ac:dyDescent="0.4">
      <c r="C115" s="105" t="s">
        <v>41</v>
      </c>
      <c r="F115" s="122">
        <v>2</v>
      </c>
      <c r="G115" s="123">
        <v>71</v>
      </c>
      <c r="H115" s="124">
        <v>147</v>
      </c>
      <c r="I115" s="124">
        <v>323</v>
      </c>
      <c r="J115" s="124">
        <v>278</v>
      </c>
      <c r="K115" s="124">
        <v>389</v>
      </c>
      <c r="L115" s="124">
        <v>381</v>
      </c>
      <c r="M115" s="125">
        <v>70</v>
      </c>
      <c r="N115" s="123">
        <v>5</v>
      </c>
      <c r="O115" s="124">
        <f t="shared" ref="O115:O116" si="23">SUM(G115:N115)</f>
        <v>1664</v>
      </c>
    </row>
    <row r="116" spans="2:16" x14ac:dyDescent="0.4">
      <c r="C116" s="105" t="s">
        <v>40</v>
      </c>
      <c r="F116" s="122">
        <v>3</v>
      </c>
      <c r="G116" s="123">
        <v>443</v>
      </c>
      <c r="H116" s="124">
        <v>349</v>
      </c>
      <c r="I116" s="124">
        <v>417</v>
      </c>
      <c r="J116" s="124">
        <v>378</v>
      </c>
      <c r="K116" s="124">
        <v>507</v>
      </c>
      <c r="L116" s="124">
        <v>603</v>
      </c>
      <c r="M116" s="125">
        <v>177</v>
      </c>
      <c r="N116" s="123">
        <v>8</v>
      </c>
      <c r="O116" s="124">
        <f t="shared" si="23"/>
        <v>2882</v>
      </c>
    </row>
    <row r="117" spans="2:16" x14ac:dyDescent="0.4">
      <c r="F117" s="140" t="s">
        <v>18</v>
      </c>
      <c r="G117" s="138">
        <v>10</v>
      </c>
      <c r="H117" s="129">
        <v>15</v>
      </c>
      <c r="I117" s="129">
        <v>43</v>
      </c>
      <c r="J117" s="129">
        <v>35</v>
      </c>
      <c r="K117" s="129">
        <v>51</v>
      </c>
      <c r="L117" s="129">
        <v>28</v>
      </c>
      <c r="M117" s="139">
        <v>14</v>
      </c>
      <c r="N117" s="123">
        <v>0</v>
      </c>
      <c r="O117" s="124">
        <f>SUM(G117:N117)</f>
        <v>196</v>
      </c>
    </row>
    <row r="118" spans="2:16" x14ac:dyDescent="0.4">
      <c r="F118" s="141" t="s">
        <v>23</v>
      </c>
      <c r="G118" s="138">
        <f>SUM(G114:G117)</f>
        <v>668</v>
      </c>
      <c r="H118" s="138">
        <f t="shared" ref="H118:N118" si="24">SUM(H114:H117)</f>
        <v>676</v>
      </c>
      <c r="I118" s="138">
        <f t="shared" si="24"/>
        <v>1079</v>
      </c>
      <c r="J118" s="138">
        <f t="shared" si="24"/>
        <v>901</v>
      </c>
      <c r="K118" s="138">
        <f t="shared" si="24"/>
        <v>1095</v>
      </c>
      <c r="L118" s="138">
        <f t="shared" si="24"/>
        <v>1081</v>
      </c>
      <c r="M118" s="138">
        <f t="shared" si="24"/>
        <v>264</v>
      </c>
      <c r="N118" s="138">
        <f t="shared" si="24"/>
        <v>13</v>
      </c>
      <c r="O118" s="124">
        <f t="shared" ref="O118" si="25">SUM(F118:N118)</f>
        <v>5777</v>
      </c>
    </row>
    <row r="119" spans="2:16" x14ac:dyDescent="0.4">
      <c r="C119" s="105" t="s">
        <v>22</v>
      </c>
      <c r="F119" s="168" t="s">
        <v>39</v>
      </c>
      <c r="G119" s="131">
        <f>G114/G118</f>
        <v>0.21556886227544911</v>
      </c>
      <c r="H119" s="131">
        <f>H114/H118</f>
        <v>0.24408284023668639</v>
      </c>
      <c r="I119" s="131">
        <f>I114/I118</f>
        <v>0.27432808155699723</v>
      </c>
      <c r="J119" s="131">
        <f t="shared" ref="J119:M119" si="26">J114/J118</f>
        <v>0.23307436182019978</v>
      </c>
      <c r="K119" s="131">
        <f t="shared" si="26"/>
        <v>0.13515981735159818</v>
      </c>
      <c r="L119" s="131">
        <f t="shared" si="26"/>
        <v>6.3829787234042548E-2</v>
      </c>
      <c r="M119" s="131">
        <f t="shared" si="26"/>
        <v>1.1363636363636364E-2</v>
      </c>
      <c r="N119" s="131">
        <f>N114/N118</f>
        <v>0</v>
      </c>
      <c r="O119" s="169"/>
      <c r="P119" s="128"/>
    </row>
    <row r="120" spans="2:16" x14ac:dyDescent="0.4">
      <c r="C120" s="105" t="s">
        <v>38</v>
      </c>
      <c r="D120" s="144">
        <f>O114/$O$118</f>
        <v>0.17915873290635279</v>
      </c>
      <c r="I120" s="135"/>
    </row>
    <row r="121" spans="2:16" x14ac:dyDescent="0.4">
      <c r="C121" s="146" t="s">
        <v>37</v>
      </c>
      <c r="D121" s="144">
        <f>O115/$O$118</f>
        <v>0.28803877445040676</v>
      </c>
    </row>
    <row r="122" spans="2:16" x14ac:dyDescent="0.4">
      <c r="C122" s="105" t="s">
        <v>36</v>
      </c>
      <c r="D122" s="144">
        <f>O116/$O$118</f>
        <v>0.49887484853730307</v>
      </c>
      <c r="J122" s="128"/>
    </row>
    <row r="123" spans="2:16" x14ac:dyDescent="0.4">
      <c r="C123" s="145" t="s">
        <v>18</v>
      </c>
      <c r="D123" s="144">
        <f>O117/$O$118</f>
        <v>3.3927644105937335E-2</v>
      </c>
    </row>
    <row r="125" spans="2:16" x14ac:dyDescent="0.4">
      <c r="B125" s="105" t="s">
        <v>35</v>
      </c>
      <c r="O125" s="112" t="s">
        <v>32</v>
      </c>
    </row>
    <row r="126" spans="2:16" ht="9" customHeight="1" x14ac:dyDescent="0.4"/>
    <row r="127" spans="2:16" x14ac:dyDescent="0.4">
      <c r="F127" s="118"/>
      <c r="G127" s="119" t="s">
        <v>31</v>
      </c>
      <c r="H127" s="120" t="s">
        <v>30</v>
      </c>
      <c r="I127" s="120" t="s">
        <v>29</v>
      </c>
      <c r="J127" s="120" t="s">
        <v>28</v>
      </c>
      <c r="K127" s="120" t="s">
        <v>27</v>
      </c>
      <c r="L127" s="120" t="s">
        <v>26</v>
      </c>
      <c r="M127" s="121" t="s">
        <v>25</v>
      </c>
      <c r="N127" s="119" t="s">
        <v>24</v>
      </c>
      <c r="O127" s="120" t="s">
        <v>23</v>
      </c>
    </row>
    <row r="128" spans="2:16" x14ac:dyDescent="0.4">
      <c r="C128" s="105" t="s">
        <v>21</v>
      </c>
      <c r="F128" s="122">
        <v>1</v>
      </c>
      <c r="G128" s="123">
        <v>411</v>
      </c>
      <c r="H128" s="124">
        <v>391</v>
      </c>
      <c r="I128" s="124">
        <v>513</v>
      </c>
      <c r="J128" s="124">
        <v>351</v>
      </c>
      <c r="K128" s="124">
        <v>419</v>
      </c>
      <c r="L128" s="124">
        <v>440</v>
      </c>
      <c r="M128" s="125">
        <v>105</v>
      </c>
      <c r="N128" s="123">
        <v>8</v>
      </c>
      <c r="O128" s="124">
        <f>SUM(G128:N128)</f>
        <v>2638</v>
      </c>
    </row>
    <row r="129" spans="2:15" x14ac:dyDescent="0.4">
      <c r="C129" s="105" t="s">
        <v>20</v>
      </c>
      <c r="F129" s="122">
        <v>2</v>
      </c>
      <c r="G129" s="123">
        <v>115</v>
      </c>
      <c r="H129" s="124">
        <v>108</v>
      </c>
      <c r="I129" s="124">
        <v>195</v>
      </c>
      <c r="J129" s="124">
        <v>167</v>
      </c>
      <c r="K129" s="124">
        <v>186</v>
      </c>
      <c r="L129" s="124">
        <v>173</v>
      </c>
      <c r="M129" s="125">
        <v>52</v>
      </c>
      <c r="N129" s="123">
        <v>1</v>
      </c>
      <c r="O129" s="124">
        <f t="shared" ref="O129:O131" si="27">SUM(G129:N129)</f>
        <v>997</v>
      </c>
    </row>
    <row r="130" spans="2:15" x14ac:dyDescent="0.4">
      <c r="C130" s="105" t="s">
        <v>19</v>
      </c>
      <c r="F130" s="137">
        <v>3</v>
      </c>
      <c r="G130" s="138">
        <v>131</v>
      </c>
      <c r="H130" s="129">
        <v>158</v>
      </c>
      <c r="I130" s="129">
        <v>325</v>
      </c>
      <c r="J130" s="129">
        <v>341</v>
      </c>
      <c r="K130" s="129">
        <v>426</v>
      </c>
      <c r="L130" s="129">
        <v>399</v>
      </c>
      <c r="M130" s="139">
        <v>78</v>
      </c>
      <c r="N130" s="123">
        <v>1</v>
      </c>
      <c r="O130" s="124">
        <f t="shared" si="27"/>
        <v>1859</v>
      </c>
    </row>
    <row r="131" spans="2:15" x14ac:dyDescent="0.4">
      <c r="F131" s="140" t="s">
        <v>18</v>
      </c>
      <c r="G131" s="138">
        <v>11</v>
      </c>
      <c r="H131" s="129">
        <v>19</v>
      </c>
      <c r="I131" s="129">
        <v>46</v>
      </c>
      <c r="J131" s="129">
        <v>42</v>
      </c>
      <c r="K131" s="129">
        <v>64</v>
      </c>
      <c r="L131" s="129">
        <v>69</v>
      </c>
      <c r="M131" s="139">
        <v>29</v>
      </c>
      <c r="N131" s="123">
        <v>3</v>
      </c>
      <c r="O131" s="124">
        <f t="shared" si="27"/>
        <v>283</v>
      </c>
    </row>
    <row r="132" spans="2:15" x14ac:dyDescent="0.4">
      <c r="F132" s="141" t="s">
        <v>23</v>
      </c>
      <c r="G132" s="138">
        <f>SUM(G128:G131)</f>
        <v>668</v>
      </c>
      <c r="H132" s="138">
        <f t="shared" ref="H132:N132" si="28">SUM(H128:H131)</f>
        <v>676</v>
      </c>
      <c r="I132" s="138">
        <f t="shared" si="28"/>
        <v>1079</v>
      </c>
      <c r="J132" s="138">
        <f t="shared" si="28"/>
        <v>901</v>
      </c>
      <c r="K132" s="138">
        <f t="shared" si="28"/>
        <v>1095</v>
      </c>
      <c r="L132" s="138">
        <f t="shared" si="28"/>
        <v>1081</v>
      </c>
      <c r="M132" s="138">
        <f t="shared" si="28"/>
        <v>264</v>
      </c>
      <c r="N132" s="138">
        <f t="shared" si="28"/>
        <v>13</v>
      </c>
      <c r="O132" s="138">
        <f>SUM(O128:O131)</f>
        <v>5777</v>
      </c>
    </row>
    <row r="133" spans="2:15" x14ac:dyDescent="0.4">
      <c r="C133" s="105" t="s">
        <v>22</v>
      </c>
    </row>
    <row r="134" spans="2:15" x14ac:dyDescent="0.4">
      <c r="C134" s="105" t="s">
        <v>21</v>
      </c>
      <c r="E134" s="144">
        <f>O128/$O$132</f>
        <v>0.45663839362991171</v>
      </c>
    </row>
    <row r="135" spans="2:15" x14ac:dyDescent="0.4">
      <c r="C135" s="105" t="s">
        <v>20</v>
      </c>
      <c r="E135" s="144">
        <f t="shared" ref="E135:E137" si="29">O129/$O$132</f>
        <v>0.17258092435520167</v>
      </c>
    </row>
    <row r="136" spans="2:15" x14ac:dyDescent="0.4">
      <c r="C136" s="105" t="s">
        <v>19</v>
      </c>
      <c r="E136" s="144">
        <f t="shared" si="29"/>
        <v>0.3217933183313138</v>
      </c>
    </row>
    <row r="137" spans="2:15" x14ac:dyDescent="0.4">
      <c r="C137" s="145" t="s">
        <v>18</v>
      </c>
      <c r="D137" s="145"/>
      <c r="E137" s="144">
        <f t="shared" si="29"/>
        <v>4.8987363683572788E-2</v>
      </c>
    </row>
    <row r="139" spans="2:15" x14ac:dyDescent="0.4">
      <c r="B139" s="105" t="s">
        <v>34</v>
      </c>
      <c r="O139" s="112" t="s">
        <v>32</v>
      </c>
    </row>
    <row r="140" spans="2:15" ht="9" customHeight="1" x14ac:dyDescent="0.4"/>
    <row r="141" spans="2:15" x14ac:dyDescent="0.4">
      <c r="F141" s="118"/>
      <c r="G141" s="119" t="s">
        <v>31</v>
      </c>
      <c r="H141" s="120" t="s">
        <v>30</v>
      </c>
      <c r="I141" s="120" t="s">
        <v>29</v>
      </c>
      <c r="J141" s="120" t="s">
        <v>28</v>
      </c>
      <c r="K141" s="120" t="s">
        <v>27</v>
      </c>
      <c r="L141" s="120" t="s">
        <v>26</v>
      </c>
      <c r="M141" s="121" t="s">
        <v>25</v>
      </c>
      <c r="N141" s="119" t="s">
        <v>24</v>
      </c>
      <c r="O141" s="120" t="s">
        <v>23</v>
      </c>
    </row>
    <row r="142" spans="2:15" x14ac:dyDescent="0.4">
      <c r="C142" s="105" t="s">
        <v>21</v>
      </c>
      <c r="F142" s="122">
        <v>1</v>
      </c>
      <c r="G142" s="123">
        <v>548</v>
      </c>
      <c r="H142" s="124">
        <v>559</v>
      </c>
      <c r="I142" s="124">
        <v>825</v>
      </c>
      <c r="J142" s="124">
        <v>653</v>
      </c>
      <c r="K142" s="124">
        <v>735</v>
      </c>
      <c r="L142" s="124">
        <v>646</v>
      </c>
      <c r="M142" s="125">
        <v>144</v>
      </c>
      <c r="N142" s="123">
        <v>9</v>
      </c>
      <c r="O142" s="124">
        <f>SUM(G142:N142)</f>
        <v>4119</v>
      </c>
    </row>
    <row r="143" spans="2:15" x14ac:dyDescent="0.4">
      <c r="C143" s="105" t="s">
        <v>20</v>
      </c>
      <c r="F143" s="122">
        <v>2</v>
      </c>
      <c r="G143" s="123">
        <v>89</v>
      </c>
      <c r="H143" s="124">
        <v>82</v>
      </c>
      <c r="I143" s="124">
        <v>169</v>
      </c>
      <c r="J143" s="124">
        <v>147</v>
      </c>
      <c r="K143" s="124">
        <v>226</v>
      </c>
      <c r="L143" s="124">
        <v>253</v>
      </c>
      <c r="M143" s="125">
        <v>50</v>
      </c>
      <c r="N143" s="123">
        <v>0</v>
      </c>
      <c r="O143" s="124">
        <f t="shared" ref="O143:O145" si="30">SUM(G143:N143)</f>
        <v>1016</v>
      </c>
    </row>
    <row r="144" spans="2:15" x14ac:dyDescent="0.4">
      <c r="C144" s="105" t="s">
        <v>19</v>
      </c>
      <c r="F144" s="137">
        <v>3</v>
      </c>
      <c r="G144" s="138">
        <v>20</v>
      </c>
      <c r="H144" s="129">
        <v>13</v>
      </c>
      <c r="I144" s="129">
        <v>36</v>
      </c>
      <c r="J144" s="129">
        <v>51</v>
      </c>
      <c r="K144" s="129">
        <v>52</v>
      </c>
      <c r="L144" s="129">
        <v>74</v>
      </c>
      <c r="M144" s="139">
        <v>24</v>
      </c>
      <c r="N144" s="123">
        <v>1</v>
      </c>
      <c r="O144" s="124">
        <f t="shared" si="30"/>
        <v>271</v>
      </c>
    </row>
    <row r="145" spans="2:15" x14ac:dyDescent="0.4">
      <c r="F145" s="140" t="s">
        <v>18</v>
      </c>
      <c r="G145" s="138">
        <v>11</v>
      </c>
      <c r="H145" s="129">
        <v>22</v>
      </c>
      <c r="I145" s="129">
        <v>49</v>
      </c>
      <c r="J145" s="129">
        <v>50</v>
      </c>
      <c r="K145" s="129">
        <v>82</v>
      </c>
      <c r="L145" s="129">
        <v>108</v>
      </c>
      <c r="M145" s="139">
        <v>46</v>
      </c>
      <c r="N145" s="123">
        <v>3</v>
      </c>
      <c r="O145" s="124">
        <f t="shared" si="30"/>
        <v>371</v>
      </c>
    </row>
    <row r="146" spans="2:15" x14ac:dyDescent="0.4">
      <c r="F146" s="141" t="s">
        <v>23</v>
      </c>
      <c r="G146" s="138">
        <f>SUM(G142:G145)</f>
        <v>668</v>
      </c>
      <c r="H146" s="138">
        <f t="shared" ref="H146:N146" si="31">SUM(H142:H145)</f>
        <v>676</v>
      </c>
      <c r="I146" s="138">
        <f t="shared" si="31"/>
        <v>1079</v>
      </c>
      <c r="J146" s="138">
        <f t="shared" si="31"/>
        <v>901</v>
      </c>
      <c r="K146" s="138">
        <f t="shared" si="31"/>
        <v>1095</v>
      </c>
      <c r="L146" s="138">
        <f t="shared" si="31"/>
        <v>1081</v>
      </c>
      <c r="M146" s="138">
        <f t="shared" si="31"/>
        <v>264</v>
      </c>
      <c r="N146" s="138">
        <f t="shared" si="31"/>
        <v>13</v>
      </c>
      <c r="O146" s="138">
        <f>SUM(O142:O145)</f>
        <v>5777</v>
      </c>
    </row>
    <row r="147" spans="2:15" x14ac:dyDescent="0.4">
      <c r="C147" s="105" t="s">
        <v>22</v>
      </c>
    </row>
    <row r="148" spans="2:15" x14ac:dyDescent="0.4">
      <c r="C148" s="105" t="s">
        <v>21</v>
      </c>
      <c r="E148" s="144">
        <f>O142/$O$146</f>
        <v>0.71299982689977492</v>
      </c>
    </row>
    <row r="149" spans="2:15" x14ac:dyDescent="0.4">
      <c r="C149" s="105" t="s">
        <v>20</v>
      </c>
      <c r="E149" s="144">
        <f t="shared" ref="E149:E151" si="32">O143/$O$146</f>
        <v>0.17586982863077721</v>
      </c>
    </row>
    <row r="150" spans="2:15" x14ac:dyDescent="0.4">
      <c r="C150" s="105" t="s">
        <v>19</v>
      </c>
      <c r="E150" s="144">
        <f t="shared" si="32"/>
        <v>4.6910160983209277E-2</v>
      </c>
    </row>
    <row r="151" spans="2:15" x14ac:dyDescent="0.4">
      <c r="C151" s="145" t="s">
        <v>18</v>
      </c>
      <c r="D151" s="145"/>
      <c r="E151" s="144">
        <f t="shared" si="32"/>
        <v>6.4220183486238536E-2</v>
      </c>
    </row>
    <row r="153" spans="2:15" x14ac:dyDescent="0.4">
      <c r="B153" s="105" t="s">
        <v>33</v>
      </c>
      <c r="O153" s="112" t="s">
        <v>32</v>
      </c>
    </row>
    <row r="154" spans="2:15" ht="9" customHeight="1" x14ac:dyDescent="0.4"/>
    <row r="155" spans="2:15" x14ac:dyDescent="0.4">
      <c r="F155" s="118"/>
      <c r="G155" s="119" t="s">
        <v>31</v>
      </c>
      <c r="H155" s="120" t="s">
        <v>30</v>
      </c>
      <c r="I155" s="120" t="s">
        <v>29</v>
      </c>
      <c r="J155" s="120" t="s">
        <v>28</v>
      </c>
      <c r="K155" s="120" t="s">
        <v>27</v>
      </c>
      <c r="L155" s="120" t="s">
        <v>26</v>
      </c>
      <c r="M155" s="121" t="s">
        <v>25</v>
      </c>
      <c r="N155" s="119" t="s">
        <v>24</v>
      </c>
      <c r="O155" s="120" t="s">
        <v>23</v>
      </c>
    </row>
    <row r="156" spans="2:15" x14ac:dyDescent="0.4">
      <c r="C156" s="105" t="s">
        <v>21</v>
      </c>
      <c r="F156" s="122">
        <v>1</v>
      </c>
      <c r="G156" s="123">
        <v>476</v>
      </c>
      <c r="H156" s="124">
        <v>562</v>
      </c>
      <c r="I156" s="124">
        <v>853</v>
      </c>
      <c r="J156" s="124">
        <v>664</v>
      </c>
      <c r="K156" s="124">
        <v>771</v>
      </c>
      <c r="L156" s="124">
        <v>758</v>
      </c>
      <c r="M156" s="125">
        <v>165</v>
      </c>
      <c r="N156" s="123">
        <v>10</v>
      </c>
      <c r="O156" s="124">
        <f>SUM(G156:N156)</f>
        <v>4259</v>
      </c>
    </row>
    <row r="157" spans="2:15" x14ac:dyDescent="0.4">
      <c r="C157" s="105" t="s">
        <v>20</v>
      </c>
      <c r="F157" s="122">
        <v>2</v>
      </c>
      <c r="G157" s="123">
        <v>125</v>
      </c>
      <c r="H157" s="124">
        <v>63</v>
      </c>
      <c r="I157" s="124">
        <v>131</v>
      </c>
      <c r="J157" s="124">
        <v>145</v>
      </c>
      <c r="K157" s="124">
        <v>189</v>
      </c>
      <c r="L157" s="124">
        <v>145</v>
      </c>
      <c r="M157" s="125">
        <v>38</v>
      </c>
      <c r="N157" s="123">
        <v>0</v>
      </c>
      <c r="O157" s="124">
        <f t="shared" ref="O157:O159" si="33">SUM(G157:N157)</f>
        <v>836</v>
      </c>
    </row>
    <row r="158" spans="2:15" x14ac:dyDescent="0.4">
      <c r="C158" s="105" t="s">
        <v>19</v>
      </c>
      <c r="F158" s="137">
        <v>3</v>
      </c>
      <c r="G158" s="138">
        <v>55</v>
      </c>
      <c r="H158" s="129">
        <v>31</v>
      </c>
      <c r="I158" s="129">
        <v>46</v>
      </c>
      <c r="J158" s="129">
        <v>43</v>
      </c>
      <c r="K158" s="129">
        <v>52</v>
      </c>
      <c r="L158" s="129">
        <v>70</v>
      </c>
      <c r="M158" s="139">
        <v>15</v>
      </c>
      <c r="N158" s="123">
        <v>0</v>
      </c>
      <c r="O158" s="124">
        <f t="shared" si="33"/>
        <v>312</v>
      </c>
    </row>
    <row r="159" spans="2:15" x14ac:dyDescent="0.4">
      <c r="F159" s="140" t="s">
        <v>18</v>
      </c>
      <c r="G159" s="138">
        <v>12</v>
      </c>
      <c r="H159" s="129">
        <v>20</v>
      </c>
      <c r="I159" s="129">
        <v>49</v>
      </c>
      <c r="J159" s="129">
        <v>49</v>
      </c>
      <c r="K159" s="129">
        <v>83</v>
      </c>
      <c r="L159" s="129">
        <v>108</v>
      </c>
      <c r="M159" s="139">
        <v>46</v>
      </c>
      <c r="N159" s="123">
        <v>3</v>
      </c>
      <c r="O159" s="124">
        <f t="shared" si="33"/>
        <v>370</v>
      </c>
    </row>
    <row r="160" spans="2:15" x14ac:dyDescent="0.4">
      <c r="F160" s="141" t="s">
        <v>23</v>
      </c>
      <c r="G160" s="138">
        <f>SUM(G156:G159)</f>
        <v>668</v>
      </c>
      <c r="H160" s="138">
        <f t="shared" ref="H160:N160" si="34">SUM(H156:H159)</f>
        <v>676</v>
      </c>
      <c r="I160" s="138">
        <f t="shared" si="34"/>
        <v>1079</v>
      </c>
      <c r="J160" s="138">
        <f t="shared" si="34"/>
        <v>901</v>
      </c>
      <c r="K160" s="138">
        <f t="shared" si="34"/>
        <v>1095</v>
      </c>
      <c r="L160" s="138">
        <f t="shared" si="34"/>
        <v>1081</v>
      </c>
      <c r="M160" s="138">
        <f t="shared" si="34"/>
        <v>264</v>
      </c>
      <c r="N160" s="138">
        <f t="shared" si="34"/>
        <v>13</v>
      </c>
      <c r="O160" s="138">
        <f>SUM(O156:O159)</f>
        <v>5777</v>
      </c>
    </row>
    <row r="161" spans="3:5" x14ac:dyDescent="0.4">
      <c r="C161" s="105" t="s">
        <v>22</v>
      </c>
    </row>
    <row r="162" spans="3:5" x14ac:dyDescent="0.4">
      <c r="C162" s="105" t="s">
        <v>21</v>
      </c>
      <c r="E162" s="144">
        <f>O156/$O$160</f>
        <v>0.7372338584040159</v>
      </c>
    </row>
    <row r="163" spans="3:5" x14ac:dyDescent="0.4">
      <c r="C163" s="105" t="s">
        <v>20</v>
      </c>
      <c r="E163" s="144">
        <f t="shared" ref="E163:E165" si="35">O157/$O$160</f>
        <v>0.14471178812532456</v>
      </c>
    </row>
    <row r="164" spans="3:5" x14ac:dyDescent="0.4">
      <c r="C164" s="105" t="s">
        <v>19</v>
      </c>
      <c r="E164" s="144">
        <f t="shared" si="35"/>
        <v>5.4007270209451272E-2</v>
      </c>
    </row>
    <row r="165" spans="3:5" x14ac:dyDescent="0.4">
      <c r="C165" s="145" t="s">
        <v>18</v>
      </c>
      <c r="D165" s="145"/>
      <c r="E165" s="144">
        <f t="shared" si="35"/>
        <v>6.404708326120824E-2</v>
      </c>
    </row>
  </sheetData>
  <phoneticPr fontId="9"/>
  <pageMargins left="0.11811023622047245" right="0.11811023622047245" top="0.59055118110236227" bottom="0.55118110236220474" header="0.31496062992125984" footer="0.31496062992125984"/>
  <pageSetup paperSize="9" scale="68" orientation="portrait" r:id="rId1"/>
  <rowBreaks count="1" manualBreakCount="1">
    <brk id="90"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235"/>
  <sheetViews>
    <sheetView zoomScale="85" zoomScaleNormal="85" workbookViewId="0">
      <selection activeCell="J79" sqref="J79"/>
    </sheetView>
  </sheetViews>
  <sheetFormatPr defaultRowHeight="18.75" x14ac:dyDescent="0.4"/>
  <cols>
    <col min="1" max="1" width="9" style="174"/>
    <col min="2" max="2" width="9" style="172"/>
    <col min="3" max="3" width="10.5" style="172" customWidth="1"/>
    <col min="4" max="5" width="9" style="174"/>
    <col min="6" max="6" width="9.875" style="174" customWidth="1"/>
    <col min="7" max="16" width="9" style="174"/>
    <col min="17" max="17" width="9" style="246"/>
    <col min="18" max="16384" width="9" style="174"/>
  </cols>
  <sheetData>
    <row r="1" spans="1:17" s="172" customFormat="1" ht="26.25" customHeight="1" x14ac:dyDescent="0.4">
      <c r="B1" s="171" t="s">
        <v>202</v>
      </c>
      <c r="C1" s="179"/>
      <c r="D1" s="179"/>
      <c r="E1" s="179"/>
      <c r="F1" s="179"/>
      <c r="G1" s="179"/>
      <c r="H1" s="179"/>
      <c r="I1" s="179"/>
      <c r="J1" s="179"/>
      <c r="K1" s="179"/>
      <c r="Q1" s="245"/>
    </row>
    <row r="2" spans="1:17" ht="15" customHeight="1" x14ac:dyDescent="0.4">
      <c r="B2" s="237"/>
    </row>
    <row r="3" spans="1:17" ht="18" customHeight="1" x14ac:dyDescent="0.4">
      <c r="B3" s="238" t="s">
        <v>111</v>
      </c>
    </row>
    <row r="4" spans="1:17" ht="15" customHeight="1" x14ac:dyDescent="0.4">
      <c r="B4" s="179" t="s">
        <v>203</v>
      </c>
      <c r="C4" s="179"/>
      <c r="D4" s="179"/>
      <c r="E4" s="179"/>
      <c r="F4" s="179"/>
      <c r="G4" s="179"/>
      <c r="H4" s="179"/>
    </row>
    <row r="5" spans="1:17" ht="15" customHeight="1" x14ac:dyDescent="0.4">
      <c r="B5" s="179" t="s">
        <v>204</v>
      </c>
      <c r="C5" s="179"/>
      <c r="D5" s="179"/>
      <c r="E5" s="179"/>
      <c r="F5" s="179"/>
      <c r="G5" s="179"/>
      <c r="H5" s="179"/>
    </row>
    <row r="6" spans="1:17" ht="15" customHeight="1" x14ac:dyDescent="0.4">
      <c r="A6" s="174" t="s">
        <v>108</v>
      </c>
      <c r="B6" s="179" t="s">
        <v>205</v>
      </c>
      <c r="C6" s="179"/>
      <c r="D6" s="179"/>
      <c r="E6" s="179"/>
      <c r="F6" s="179"/>
      <c r="G6" s="179"/>
      <c r="H6" s="179"/>
    </row>
    <row r="7" spans="1:17" ht="13.5" customHeight="1" x14ac:dyDescent="0.4">
      <c r="B7" s="179"/>
    </row>
    <row r="8" spans="1:17" ht="18" customHeight="1" x14ac:dyDescent="0.4">
      <c r="B8" s="238" t="s">
        <v>106</v>
      </c>
    </row>
    <row r="9" spans="1:17" x14ac:dyDescent="0.4">
      <c r="B9" s="172" t="s">
        <v>105</v>
      </c>
      <c r="O9" s="182" t="s">
        <v>32</v>
      </c>
    </row>
    <row r="10" spans="1:17" ht="9" customHeight="1" x14ac:dyDescent="0.4">
      <c r="F10" s="183"/>
      <c r="O10" s="182"/>
    </row>
    <row r="11" spans="1:17" x14ac:dyDescent="0.4">
      <c r="B11" s="239" t="s">
        <v>104</v>
      </c>
      <c r="C11" s="240">
        <f>O12</f>
        <v>2159</v>
      </c>
      <c r="D11" s="175">
        <f>O12/$O$14</f>
        <v>0.4572215163066497</v>
      </c>
      <c r="E11" s="184"/>
      <c r="F11" s="185"/>
      <c r="G11" s="186" t="s">
        <v>31</v>
      </c>
      <c r="H11" s="187" t="s">
        <v>30</v>
      </c>
      <c r="I11" s="187" t="s">
        <v>29</v>
      </c>
      <c r="J11" s="187" t="s">
        <v>28</v>
      </c>
      <c r="K11" s="187" t="s">
        <v>27</v>
      </c>
      <c r="L11" s="187" t="s">
        <v>26</v>
      </c>
      <c r="M11" s="188" t="s">
        <v>25</v>
      </c>
      <c r="N11" s="186" t="s">
        <v>24</v>
      </c>
      <c r="O11" s="187" t="s">
        <v>23</v>
      </c>
    </row>
    <row r="12" spans="1:17" x14ac:dyDescent="0.4">
      <c r="B12" s="239" t="s">
        <v>102</v>
      </c>
      <c r="C12" s="240">
        <f t="shared" ref="C12:C13" si="0">O13</f>
        <v>2563</v>
      </c>
      <c r="D12" s="175">
        <f>O13/$O$14</f>
        <v>0.54277848369335024</v>
      </c>
      <c r="E12" s="184"/>
      <c r="F12" s="189" t="s">
        <v>100</v>
      </c>
      <c r="G12" s="190">
        <v>188</v>
      </c>
      <c r="H12" s="191">
        <v>194</v>
      </c>
      <c r="I12" s="191">
        <v>347</v>
      </c>
      <c r="J12" s="191">
        <v>361</v>
      </c>
      <c r="K12" s="191">
        <v>389</v>
      </c>
      <c r="L12" s="191">
        <v>507</v>
      </c>
      <c r="M12" s="192">
        <v>166</v>
      </c>
      <c r="N12" s="190">
        <v>7</v>
      </c>
      <c r="O12" s="193">
        <f t="shared" ref="O12:O13" si="1">SUM(G12:N12)</f>
        <v>2159</v>
      </c>
    </row>
    <row r="13" spans="1:17" x14ac:dyDescent="0.4">
      <c r="B13" s="239" t="s">
        <v>99</v>
      </c>
      <c r="C13" s="240">
        <f t="shared" si="0"/>
        <v>4722</v>
      </c>
      <c r="D13" s="181"/>
      <c r="E13" s="194"/>
      <c r="F13" s="189" t="s">
        <v>97</v>
      </c>
      <c r="G13" s="190">
        <v>113</v>
      </c>
      <c r="H13" s="191">
        <v>194</v>
      </c>
      <c r="I13" s="191">
        <v>372</v>
      </c>
      <c r="J13" s="191">
        <v>397</v>
      </c>
      <c r="K13" s="191">
        <v>598</v>
      </c>
      <c r="L13" s="191">
        <v>703</v>
      </c>
      <c r="M13" s="192">
        <v>178</v>
      </c>
      <c r="N13" s="190">
        <v>8</v>
      </c>
      <c r="O13" s="193">
        <f t="shared" si="1"/>
        <v>2563</v>
      </c>
    </row>
    <row r="14" spans="1:17" x14ac:dyDescent="0.4">
      <c r="C14" s="179"/>
      <c r="D14" s="181"/>
      <c r="E14" s="195"/>
      <c r="F14" s="186" t="s">
        <v>23</v>
      </c>
      <c r="G14" s="196">
        <f>SUM(G12:G13)</f>
        <v>301</v>
      </c>
      <c r="H14" s="196">
        <f t="shared" ref="H14:N14" si="2">SUM(H12:H13)</f>
        <v>388</v>
      </c>
      <c r="I14" s="196">
        <f t="shared" si="2"/>
        <v>719</v>
      </c>
      <c r="J14" s="196">
        <f t="shared" si="2"/>
        <v>758</v>
      </c>
      <c r="K14" s="196">
        <f t="shared" si="2"/>
        <v>987</v>
      </c>
      <c r="L14" s="196">
        <f t="shared" si="2"/>
        <v>1210</v>
      </c>
      <c r="M14" s="196">
        <f t="shared" si="2"/>
        <v>344</v>
      </c>
      <c r="N14" s="196">
        <f t="shared" si="2"/>
        <v>15</v>
      </c>
      <c r="O14" s="197">
        <f>SUM(O12:O13)</f>
        <v>4722</v>
      </c>
    </row>
    <row r="15" spans="1:17" x14ac:dyDescent="0.4">
      <c r="B15" s="239" t="s">
        <v>96</v>
      </c>
      <c r="C15" s="179">
        <v>20</v>
      </c>
      <c r="D15" s="181"/>
      <c r="F15" s="198" t="s">
        <v>94</v>
      </c>
      <c r="G15" s="199">
        <f>G14/$O$14</f>
        <v>6.3744176196526892E-2</v>
      </c>
      <c r="H15" s="199">
        <f t="shared" ref="H15:N15" si="3">H14/$O$14</f>
        <v>8.2168572638712412E-2</v>
      </c>
      <c r="I15" s="199">
        <f t="shared" si="3"/>
        <v>0.15226598898771707</v>
      </c>
      <c r="J15" s="199">
        <f t="shared" si="3"/>
        <v>0.16052520118593816</v>
      </c>
      <c r="K15" s="199">
        <f>K14/$O$14</f>
        <v>0.20902160101651843</v>
      </c>
      <c r="L15" s="199">
        <f t="shared" si="3"/>
        <v>0.25624735281660316</v>
      </c>
      <c r="M15" s="199">
        <f t="shared" si="3"/>
        <v>7.2850487081745019E-2</v>
      </c>
      <c r="N15" s="199">
        <f t="shared" si="3"/>
        <v>3.1766200762388818E-3</v>
      </c>
      <c r="O15" s="200"/>
    </row>
    <row r="16" spans="1:17" x14ac:dyDescent="0.4">
      <c r="B16" s="239" t="s">
        <v>93</v>
      </c>
      <c r="C16" s="179">
        <v>96</v>
      </c>
      <c r="D16" s="181"/>
      <c r="G16" s="201"/>
      <c r="H16" s="202"/>
      <c r="I16" s="202"/>
      <c r="J16" s="202"/>
      <c r="K16" s="202"/>
      <c r="L16" s="202"/>
      <c r="M16" s="202"/>
      <c r="N16" s="203"/>
    </row>
    <row r="17" spans="2:15" x14ac:dyDescent="0.4">
      <c r="B17" s="241" t="s">
        <v>91</v>
      </c>
      <c r="C17" s="179">
        <v>58.73</v>
      </c>
      <c r="D17" s="181"/>
      <c r="N17" s="195"/>
    </row>
    <row r="18" spans="2:15" x14ac:dyDescent="0.4">
      <c r="M18" s="195"/>
    </row>
    <row r="19" spans="2:15" x14ac:dyDescent="0.4">
      <c r="B19" s="172" t="s">
        <v>89</v>
      </c>
      <c r="O19" s="182" t="s">
        <v>32</v>
      </c>
    </row>
    <row r="20" spans="2:15" ht="9" customHeight="1" x14ac:dyDescent="0.4">
      <c r="O20" s="182"/>
    </row>
    <row r="21" spans="2:15" x14ac:dyDescent="0.4">
      <c r="F21" s="185"/>
      <c r="G21" s="186" t="s">
        <v>31</v>
      </c>
      <c r="H21" s="187" t="s">
        <v>30</v>
      </c>
      <c r="I21" s="187" t="s">
        <v>29</v>
      </c>
      <c r="J21" s="187" t="s">
        <v>28</v>
      </c>
      <c r="K21" s="187" t="s">
        <v>27</v>
      </c>
      <c r="L21" s="187" t="s">
        <v>26</v>
      </c>
      <c r="M21" s="188" t="s">
        <v>25</v>
      </c>
      <c r="N21" s="186" t="s">
        <v>24</v>
      </c>
      <c r="O21" s="187" t="s">
        <v>23</v>
      </c>
    </row>
    <row r="22" spans="2:15" x14ac:dyDescent="0.4">
      <c r="C22" s="172" t="s">
        <v>88</v>
      </c>
      <c r="F22" s="189">
        <v>1</v>
      </c>
      <c r="G22" s="190">
        <v>40</v>
      </c>
      <c r="H22" s="191">
        <v>64</v>
      </c>
      <c r="I22" s="191">
        <v>143</v>
      </c>
      <c r="J22" s="191">
        <v>203</v>
      </c>
      <c r="K22" s="191">
        <v>334</v>
      </c>
      <c r="L22" s="191">
        <v>402</v>
      </c>
      <c r="M22" s="192">
        <v>135</v>
      </c>
      <c r="N22" s="190">
        <v>3</v>
      </c>
      <c r="O22" s="193">
        <f>SUM(G22:N22)</f>
        <v>1324</v>
      </c>
    </row>
    <row r="23" spans="2:15" x14ac:dyDescent="0.4">
      <c r="C23" s="172" t="s">
        <v>87</v>
      </c>
      <c r="F23" s="189">
        <v>2</v>
      </c>
      <c r="G23" s="190">
        <v>49</v>
      </c>
      <c r="H23" s="191">
        <v>108</v>
      </c>
      <c r="I23" s="191">
        <v>176</v>
      </c>
      <c r="J23" s="191">
        <v>132</v>
      </c>
      <c r="K23" s="191">
        <v>156</v>
      </c>
      <c r="L23" s="191">
        <v>158</v>
      </c>
      <c r="M23" s="192">
        <v>26</v>
      </c>
      <c r="N23" s="190">
        <v>0</v>
      </c>
      <c r="O23" s="193">
        <f t="shared" ref="O23:O25" si="4">SUM(G23:N23)</f>
        <v>805</v>
      </c>
    </row>
    <row r="24" spans="2:15" x14ac:dyDescent="0.4">
      <c r="C24" s="172" t="s">
        <v>86</v>
      </c>
      <c r="F24" s="189">
        <v>3</v>
      </c>
      <c r="G24" s="190">
        <v>69</v>
      </c>
      <c r="H24" s="191">
        <v>88</v>
      </c>
      <c r="I24" s="191">
        <v>167</v>
      </c>
      <c r="J24" s="191">
        <v>161</v>
      </c>
      <c r="K24" s="191">
        <v>131</v>
      </c>
      <c r="L24" s="191">
        <v>151</v>
      </c>
      <c r="M24" s="192">
        <v>35</v>
      </c>
      <c r="N24" s="190">
        <v>1</v>
      </c>
      <c r="O24" s="193">
        <f t="shared" si="4"/>
        <v>803</v>
      </c>
    </row>
    <row r="25" spans="2:15" x14ac:dyDescent="0.4">
      <c r="C25" s="172" t="s">
        <v>85</v>
      </c>
      <c r="F25" s="204">
        <v>4</v>
      </c>
      <c r="G25" s="205">
        <v>143</v>
      </c>
      <c r="H25" s="206">
        <v>127</v>
      </c>
      <c r="I25" s="206">
        <v>233</v>
      </c>
      <c r="J25" s="206">
        <v>260</v>
      </c>
      <c r="K25" s="206">
        <v>359</v>
      </c>
      <c r="L25" s="206">
        <v>474</v>
      </c>
      <c r="M25" s="207">
        <v>134</v>
      </c>
      <c r="N25" s="190">
        <v>10</v>
      </c>
      <c r="O25" s="193">
        <f t="shared" si="4"/>
        <v>1740</v>
      </c>
    </row>
    <row r="26" spans="2:15" x14ac:dyDescent="0.4">
      <c r="F26" s="208" t="s">
        <v>18</v>
      </c>
      <c r="G26" s="205">
        <v>0</v>
      </c>
      <c r="H26" s="206">
        <v>1</v>
      </c>
      <c r="I26" s="206">
        <v>0</v>
      </c>
      <c r="J26" s="206">
        <v>2</v>
      </c>
      <c r="K26" s="206">
        <v>7</v>
      </c>
      <c r="L26" s="206">
        <v>25</v>
      </c>
      <c r="M26" s="207">
        <v>14</v>
      </c>
      <c r="N26" s="190">
        <v>1</v>
      </c>
      <c r="O26" s="193">
        <f>SUM(G26:N26)</f>
        <v>50</v>
      </c>
    </row>
    <row r="27" spans="2:15" x14ac:dyDescent="0.4">
      <c r="B27" s="172" t="s">
        <v>54</v>
      </c>
      <c r="F27" s="209" t="s">
        <v>23</v>
      </c>
      <c r="G27" s="210">
        <f>SUM(G22:G26)</f>
        <v>301</v>
      </c>
      <c r="H27" s="210">
        <f t="shared" ref="H27:O27" si="5">SUM(H22:H26)</f>
        <v>388</v>
      </c>
      <c r="I27" s="210">
        <f t="shared" si="5"/>
        <v>719</v>
      </c>
      <c r="J27" s="210">
        <f t="shared" si="5"/>
        <v>758</v>
      </c>
      <c r="K27" s="210">
        <f t="shared" si="5"/>
        <v>987</v>
      </c>
      <c r="L27" s="210">
        <f t="shared" si="5"/>
        <v>1210</v>
      </c>
      <c r="M27" s="210">
        <f t="shared" si="5"/>
        <v>344</v>
      </c>
      <c r="N27" s="210">
        <f t="shared" si="5"/>
        <v>15</v>
      </c>
      <c r="O27" s="210">
        <f t="shared" si="5"/>
        <v>4722</v>
      </c>
    </row>
    <row r="28" spans="2:15" x14ac:dyDescent="0.4">
      <c r="B28" s="172" t="s">
        <v>84</v>
      </c>
    </row>
    <row r="29" spans="2:15" x14ac:dyDescent="0.4">
      <c r="D29" s="174" t="s">
        <v>83</v>
      </c>
      <c r="G29" s="176" t="s">
        <v>31</v>
      </c>
      <c r="H29" s="176" t="s">
        <v>30</v>
      </c>
      <c r="I29" s="176" t="s">
        <v>29</v>
      </c>
      <c r="J29" s="176" t="s">
        <v>28</v>
      </c>
      <c r="K29" s="176" t="s">
        <v>27</v>
      </c>
      <c r="L29" s="176" t="s">
        <v>26</v>
      </c>
      <c r="M29" s="176" t="s">
        <v>25</v>
      </c>
      <c r="N29" s="176" t="s">
        <v>63</v>
      </c>
    </row>
    <row r="30" spans="2:15" x14ac:dyDescent="0.4">
      <c r="B30" s="172" t="s">
        <v>82</v>
      </c>
      <c r="G30" s="211">
        <f>SUM(G22:G24)/G27</f>
        <v>0.52491694352159468</v>
      </c>
      <c r="H30" s="211">
        <f t="shared" ref="H30:N30" si="6">SUM(H22:H24)/H27</f>
        <v>0.67010309278350511</v>
      </c>
      <c r="I30" s="211">
        <f t="shared" si="6"/>
        <v>0.67593880389429761</v>
      </c>
      <c r="J30" s="211">
        <f t="shared" si="6"/>
        <v>0.65435356200527706</v>
      </c>
      <c r="K30" s="211">
        <f t="shared" si="6"/>
        <v>0.62917933130699089</v>
      </c>
      <c r="L30" s="211">
        <f t="shared" si="6"/>
        <v>0.58760330578512399</v>
      </c>
      <c r="M30" s="211">
        <f t="shared" si="6"/>
        <v>0.56976744186046513</v>
      </c>
      <c r="N30" s="211">
        <f t="shared" si="6"/>
        <v>0.26666666666666666</v>
      </c>
    </row>
    <row r="31" spans="2:15" x14ac:dyDescent="0.4">
      <c r="D31" s="174" t="s">
        <v>81</v>
      </c>
    </row>
    <row r="33" spans="2:15" x14ac:dyDescent="0.4">
      <c r="B33" s="172" t="s">
        <v>80</v>
      </c>
      <c r="O33" s="182" t="s">
        <v>32</v>
      </c>
    </row>
    <row r="34" spans="2:15" ht="9" customHeight="1" x14ac:dyDescent="0.4">
      <c r="O34" s="182"/>
    </row>
    <row r="35" spans="2:15" x14ac:dyDescent="0.4">
      <c r="C35" s="172" t="s">
        <v>22</v>
      </c>
      <c r="D35" s="212"/>
      <c r="F35" s="185"/>
      <c r="G35" s="186" t="s">
        <v>31</v>
      </c>
      <c r="H35" s="187" t="s">
        <v>30</v>
      </c>
      <c r="I35" s="187" t="s">
        <v>29</v>
      </c>
      <c r="J35" s="187" t="s">
        <v>28</v>
      </c>
      <c r="K35" s="187" t="s">
        <v>27</v>
      </c>
      <c r="L35" s="187" t="s">
        <v>26</v>
      </c>
      <c r="M35" s="188" t="s">
        <v>25</v>
      </c>
      <c r="N35" s="186" t="s">
        <v>24</v>
      </c>
      <c r="O35" s="187" t="s">
        <v>23</v>
      </c>
    </row>
    <row r="36" spans="2:15" x14ac:dyDescent="0.4">
      <c r="C36" s="172" t="s">
        <v>75</v>
      </c>
      <c r="D36" s="212">
        <f>O36/$O$39</f>
        <v>0.33206268530283778</v>
      </c>
      <c r="F36" s="189">
        <v>1</v>
      </c>
      <c r="G36" s="190">
        <v>87</v>
      </c>
      <c r="H36" s="191">
        <v>142</v>
      </c>
      <c r="I36" s="191">
        <v>261</v>
      </c>
      <c r="J36" s="191">
        <v>247</v>
      </c>
      <c r="K36" s="191">
        <v>304</v>
      </c>
      <c r="L36" s="191">
        <v>396</v>
      </c>
      <c r="M36" s="192">
        <v>127</v>
      </c>
      <c r="N36" s="190">
        <v>4</v>
      </c>
      <c r="O36" s="193">
        <f>SUM(G36:N36)</f>
        <v>1568</v>
      </c>
    </row>
    <row r="37" spans="2:15" x14ac:dyDescent="0.4">
      <c r="C37" s="172" t="s">
        <v>74</v>
      </c>
      <c r="D37" s="212">
        <f t="shared" ref="D37:D38" si="7">O37/$O$39</f>
        <v>0.66031342651418889</v>
      </c>
      <c r="F37" s="189">
        <v>2</v>
      </c>
      <c r="G37" s="190">
        <v>214</v>
      </c>
      <c r="H37" s="191">
        <v>246</v>
      </c>
      <c r="I37" s="191">
        <v>453</v>
      </c>
      <c r="J37" s="191">
        <v>510</v>
      </c>
      <c r="K37" s="191">
        <v>679</v>
      </c>
      <c r="L37" s="191">
        <v>798</v>
      </c>
      <c r="M37" s="192">
        <v>207</v>
      </c>
      <c r="N37" s="190">
        <v>11</v>
      </c>
      <c r="O37" s="193">
        <f t="shared" ref="O37:O38" si="8">SUM(G37:N37)</f>
        <v>3118</v>
      </c>
    </row>
    <row r="38" spans="2:15" x14ac:dyDescent="0.4">
      <c r="C38" s="242" t="s">
        <v>18</v>
      </c>
      <c r="D38" s="212">
        <f t="shared" si="7"/>
        <v>7.6238881829733167E-3</v>
      </c>
      <c r="F38" s="208" t="s">
        <v>18</v>
      </c>
      <c r="G38" s="205">
        <v>0</v>
      </c>
      <c r="H38" s="206">
        <v>0</v>
      </c>
      <c r="I38" s="206">
        <v>5</v>
      </c>
      <c r="J38" s="206">
        <v>1</v>
      </c>
      <c r="K38" s="206">
        <v>4</v>
      </c>
      <c r="L38" s="206">
        <v>16</v>
      </c>
      <c r="M38" s="207">
        <v>10</v>
      </c>
      <c r="N38" s="190">
        <v>0</v>
      </c>
      <c r="O38" s="193">
        <f t="shared" si="8"/>
        <v>36</v>
      </c>
    </row>
    <row r="39" spans="2:15" x14ac:dyDescent="0.4">
      <c r="F39" s="209" t="s">
        <v>23</v>
      </c>
      <c r="G39" s="210">
        <f>SUM(G36:G38)</f>
        <v>301</v>
      </c>
      <c r="H39" s="210">
        <f t="shared" ref="H39:O39" si="9">SUM(H36:H38)</f>
        <v>388</v>
      </c>
      <c r="I39" s="210">
        <f t="shared" si="9"/>
        <v>719</v>
      </c>
      <c r="J39" s="210">
        <f t="shared" si="9"/>
        <v>758</v>
      </c>
      <c r="K39" s="210">
        <f t="shared" si="9"/>
        <v>987</v>
      </c>
      <c r="L39" s="210">
        <f t="shared" si="9"/>
        <v>1210</v>
      </c>
      <c r="M39" s="210">
        <f t="shared" si="9"/>
        <v>344</v>
      </c>
      <c r="N39" s="210">
        <f t="shared" si="9"/>
        <v>15</v>
      </c>
      <c r="O39" s="210">
        <f t="shared" si="9"/>
        <v>4722</v>
      </c>
    </row>
    <row r="41" spans="2:15" x14ac:dyDescent="0.4">
      <c r="B41" s="172" t="s">
        <v>54</v>
      </c>
      <c r="G41" s="176" t="s">
        <v>31</v>
      </c>
      <c r="H41" s="176" t="s">
        <v>30</v>
      </c>
      <c r="I41" s="176" t="s">
        <v>29</v>
      </c>
      <c r="J41" s="176" t="s">
        <v>28</v>
      </c>
      <c r="K41" s="176" t="s">
        <v>27</v>
      </c>
      <c r="L41" s="176" t="s">
        <v>26</v>
      </c>
      <c r="M41" s="176" t="s">
        <v>25</v>
      </c>
      <c r="N41" s="176" t="s">
        <v>63</v>
      </c>
    </row>
    <row r="42" spans="2:15" x14ac:dyDescent="0.4">
      <c r="B42" s="172" t="s">
        <v>79</v>
      </c>
      <c r="G42" s="211">
        <f>G36/G39</f>
        <v>0.28903654485049834</v>
      </c>
      <c r="H42" s="211">
        <f t="shared" ref="H42:N42" si="10">H36/H39</f>
        <v>0.36597938144329895</v>
      </c>
      <c r="I42" s="211">
        <f t="shared" si="10"/>
        <v>0.36300417246175243</v>
      </c>
      <c r="J42" s="211">
        <f t="shared" si="10"/>
        <v>0.32585751978891819</v>
      </c>
      <c r="K42" s="211">
        <f t="shared" si="10"/>
        <v>0.30800405268490377</v>
      </c>
      <c r="L42" s="211">
        <f t="shared" si="10"/>
        <v>0.32727272727272727</v>
      </c>
      <c r="M42" s="211">
        <f t="shared" si="10"/>
        <v>0.3691860465116279</v>
      </c>
      <c r="N42" s="211">
        <f t="shared" si="10"/>
        <v>0.26666666666666666</v>
      </c>
    </row>
    <row r="43" spans="2:15" x14ac:dyDescent="0.4">
      <c r="D43" s="174" t="s">
        <v>78</v>
      </c>
    </row>
    <row r="45" spans="2:15" x14ac:dyDescent="0.4">
      <c r="B45" s="172" t="s">
        <v>77</v>
      </c>
      <c r="O45" s="182" t="s">
        <v>32</v>
      </c>
    </row>
    <row r="46" spans="2:15" ht="9" customHeight="1" x14ac:dyDescent="0.4">
      <c r="O46" s="182"/>
    </row>
    <row r="47" spans="2:15" x14ac:dyDescent="0.4">
      <c r="B47" s="243"/>
      <c r="C47" s="172" t="s">
        <v>22</v>
      </c>
      <c r="D47" s="212"/>
      <c r="F47" s="185"/>
      <c r="G47" s="186" t="s">
        <v>31</v>
      </c>
      <c r="H47" s="187" t="s">
        <v>30</v>
      </c>
      <c r="I47" s="187" t="s">
        <v>29</v>
      </c>
      <c r="J47" s="187" t="s">
        <v>28</v>
      </c>
      <c r="K47" s="187" t="s">
        <v>27</v>
      </c>
      <c r="L47" s="187" t="s">
        <v>26</v>
      </c>
      <c r="M47" s="188" t="s">
        <v>25</v>
      </c>
      <c r="N47" s="186" t="s">
        <v>24</v>
      </c>
      <c r="O47" s="187" t="s">
        <v>23</v>
      </c>
    </row>
    <row r="48" spans="2:15" x14ac:dyDescent="0.4">
      <c r="C48" s="172" t="s">
        <v>75</v>
      </c>
      <c r="D48" s="212">
        <f>O48/$O$51</f>
        <v>0.1541719610334604</v>
      </c>
      <c r="F48" s="189">
        <v>1</v>
      </c>
      <c r="G48" s="190">
        <v>54</v>
      </c>
      <c r="H48" s="191">
        <v>80</v>
      </c>
      <c r="I48" s="191">
        <v>145</v>
      </c>
      <c r="J48" s="191">
        <v>154</v>
      </c>
      <c r="K48" s="191">
        <v>125</v>
      </c>
      <c r="L48" s="191">
        <v>141</v>
      </c>
      <c r="M48" s="192">
        <v>28</v>
      </c>
      <c r="N48" s="190">
        <v>1</v>
      </c>
      <c r="O48" s="193">
        <f>SUM(G48:N48)</f>
        <v>728</v>
      </c>
    </row>
    <row r="49" spans="2:15" x14ac:dyDescent="0.4">
      <c r="C49" s="172" t="s">
        <v>74</v>
      </c>
      <c r="D49" s="212">
        <f>O49/$O$51</f>
        <v>0.82698009318085552</v>
      </c>
      <c r="F49" s="189">
        <v>2</v>
      </c>
      <c r="G49" s="190">
        <v>247</v>
      </c>
      <c r="H49" s="191">
        <v>308</v>
      </c>
      <c r="I49" s="191">
        <v>572</v>
      </c>
      <c r="J49" s="191">
        <v>598</v>
      </c>
      <c r="K49" s="191">
        <v>843</v>
      </c>
      <c r="L49" s="191">
        <v>1027</v>
      </c>
      <c r="M49" s="192">
        <v>296</v>
      </c>
      <c r="N49" s="190">
        <v>14</v>
      </c>
      <c r="O49" s="193">
        <f>SUM(G49:N49)</f>
        <v>3905</v>
      </c>
    </row>
    <row r="50" spans="2:15" x14ac:dyDescent="0.4">
      <c r="C50" s="242" t="s">
        <v>18</v>
      </c>
      <c r="D50" s="212">
        <f>O50/$O$51</f>
        <v>1.8847945785684033E-2</v>
      </c>
      <c r="F50" s="208" t="s">
        <v>18</v>
      </c>
      <c r="G50" s="205">
        <v>0</v>
      </c>
      <c r="H50" s="206">
        <v>0</v>
      </c>
      <c r="I50" s="206">
        <v>2</v>
      </c>
      <c r="J50" s="206">
        <v>6</v>
      </c>
      <c r="K50" s="206">
        <v>19</v>
      </c>
      <c r="L50" s="206">
        <v>42</v>
      </c>
      <c r="M50" s="207">
        <v>20</v>
      </c>
      <c r="N50" s="190">
        <v>0</v>
      </c>
      <c r="O50" s="193">
        <f>SUM(G50:N50)</f>
        <v>89</v>
      </c>
    </row>
    <row r="51" spans="2:15" x14ac:dyDescent="0.4">
      <c r="F51" s="209" t="s">
        <v>23</v>
      </c>
      <c r="G51" s="210">
        <f>SUM(G48:G50)</f>
        <v>301</v>
      </c>
      <c r="H51" s="210">
        <f t="shared" ref="H51:N51" si="11">SUM(H48:H50)</f>
        <v>388</v>
      </c>
      <c r="I51" s="210">
        <f t="shared" si="11"/>
        <v>719</v>
      </c>
      <c r="J51" s="210">
        <f t="shared" si="11"/>
        <v>758</v>
      </c>
      <c r="K51" s="210">
        <f t="shared" si="11"/>
        <v>987</v>
      </c>
      <c r="L51" s="210">
        <f t="shared" si="11"/>
        <v>1210</v>
      </c>
      <c r="M51" s="210">
        <f t="shared" si="11"/>
        <v>344</v>
      </c>
      <c r="N51" s="210">
        <f t="shared" si="11"/>
        <v>15</v>
      </c>
      <c r="O51" s="210">
        <f>SUM(O48:O50)</f>
        <v>4722</v>
      </c>
    </row>
    <row r="53" spans="2:15" x14ac:dyDescent="0.4">
      <c r="G53" s="176" t="s">
        <v>31</v>
      </c>
      <c r="H53" s="176" t="s">
        <v>30</v>
      </c>
      <c r="I53" s="176" t="s">
        <v>29</v>
      </c>
      <c r="J53" s="176" t="s">
        <v>28</v>
      </c>
      <c r="K53" s="176" t="s">
        <v>27</v>
      </c>
      <c r="L53" s="176" t="s">
        <v>26</v>
      </c>
      <c r="M53" s="176" t="s">
        <v>25</v>
      </c>
      <c r="N53" s="176" t="s">
        <v>63</v>
      </c>
    </row>
    <row r="54" spans="2:15" x14ac:dyDescent="0.4">
      <c r="G54" s="211">
        <f>G48/G51</f>
        <v>0.17940199335548174</v>
      </c>
      <c r="H54" s="211">
        <f t="shared" ref="H54:N54" si="12">H48/H51</f>
        <v>0.20618556701030927</v>
      </c>
      <c r="I54" s="211">
        <f t="shared" si="12"/>
        <v>0.20166898470097358</v>
      </c>
      <c r="J54" s="211">
        <f t="shared" si="12"/>
        <v>0.20316622691292877</v>
      </c>
      <c r="K54" s="211">
        <f t="shared" si="12"/>
        <v>0.12664640324214793</v>
      </c>
      <c r="L54" s="211">
        <f t="shared" si="12"/>
        <v>0.11652892561983472</v>
      </c>
      <c r="M54" s="211">
        <f t="shared" si="12"/>
        <v>8.1395348837209308E-2</v>
      </c>
      <c r="N54" s="211">
        <f t="shared" si="12"/>
        <v>6.6666666666666666E-2</v>
      </c>
    </row>
    <row r="56" spans="2:15" x14ac:dyDescent="0.4">
      <c r="B56" s="172" t="s">
        <v>76</v>
      </c>
      <c r="O56" s="182" t="s">
        <v>32</v>
      </c>
    </row>
    <row r="57" spans="2:15" ht="9" customHeight="1" x14ac:dyDescent="0.4">
      <c r="O57" s="182"/>
    </row>
    <row r="58" spans="2:15" x14ac:dyDescent="0.4">
      <c r="B58" s="243"/>
      <c r="C58" s="172" t="s">
        <v>22</v>
      </c>
      <c r="D58" s="212"/>
      <c r="F58" s="185"/>
      <c r="G58" s="186" t="s">
        <v>31</v>
      </c>
      <c r="H58" s="187" t="s">
        <v>30</v>
      </c>
      <c r="I58" s="187" t="s">
        <v>29</v>
      </c>
      <c r="J58" s="187" t="s">
        <v>28</v>
      </c>
      <c r="K58" s="187" t="s">
        <v>27</v>
      </c>
      <c r="L58" s="187" t="s">
        <v>26</v>
      </c>
      <c r="M58" s="188" t="s">
        <v>25</v>
      </c>
      <c r="N58" s="186" t="s">
        <v>24</v>
      </c>
      <c r="O58" s="187" t="s">
        <v>23</v>
      </c>
    </row>
    <row r="59" spans="2:15" x14ac:dyDescent="0.4">
      <c r="C59" s="172" t="s">
        <v>75</v>
      </c>
      <c r="D59" s="212">
        <f>O59/$O$62</f>
        <v>9.4027954256670904E-2</v>
      </c>
      <c r="F59" s="189">
        <v>1</v>
      </c>
      <c r="G59" s="190">
        <v>39</v>
      </c>
      <c r="H59" s="191">
        <v>37</v>
      </c>
      <c r="I59" s="191">
        <v>73</v>
      </c>
      <c r="J59" s="191">
        <v>112</v>
      </c>
      <c r="K59" s="191">
        <v>83</v>
      </c>
      <c r="L59" s="191">
        <v>80</v>
      </c>
      <c r="M59" s="192">
        <v>20</v>
      </c>
      <c r="N59" s="190">
        <v>0</v>
      </c>
      <c r="O59" s="193">
        <f>SUM(G59:N59)</f>
        <v>444</v>
      </c>
    </row>
    <row r="60" spans="2:15" x14ac:dyDescent="0.4">
      <c r="C60" s="172" t="s">
        <v>74</v>
      </c>
      <c r="D60" s="212">
        <f>O60/$O$62</f>
        <v>0.86806437950021176</v>
      </c>
      <c r="F60" s="189">
        <v>2</v>
      </c>
      <c r="G60" s="190">
        <v>257</v>
      </c>
      <c r="H60" s="191">
        <v>345</v>
      </c>
      <c r="I60" s="191">
        <v>633</v>
      </c>
      <c r="J60" s="191">
        <v>633</v>
      </c>
      <c r="K60" s="191">
        <v>867</v>
      </c>
      <c r="L60" s="191">
        <v>1053</v>
      </c>
      <c r="M60" s="192">
        <v>296</v>
      </c>
      <c r="N60" s="190">
        <v>15</v>
      </c>
      <c r="O60" s="193">
        <f>SUM(G60:N60)</f>
        <v>4099</v>
      </c>
    </row>
    <row r="61" spans="2:15" x14ac:dyDescent="0.4">
      <c r="C61" s="242" t="s">
        <v>18</v>
      </c>
      <c r="D61" s="212">
        <f>O61/$O$62</f>
        <v>3.7907666243117324E-2</v>
      </c>
      <c r="F61" s="208" t="s">
        <v>18</v>
      </c>
      <c r="G61" s="205">
        <v>5</v>
      </c>
      <c r="H61" s="206">
        <v>6</v>
      </c>
      <c r="I61" s="206">
        <v>13</v>
      </c>
      <c r="J61" s="206">
        <v>13</v>
      </c>
      <c r="K61" s="206">
        <v>37</v>
      </c>
      <c r="L61" s="206">
        <v>77</v>
      </c>
      <c r="M61" s="207">
        <v>28</v>
      </c>
      <c r="N61" s="190">
        <v>0</v>
      </c>
      <c r="O61" s="193">
        <f>SUM(G61:N61)</f>
        <v>179</v>
      </c>
    </row>
    <row r="62" spans="2:15" x14ac:dyDescent="0.4">
      <c r="F62" s="209" t="s">
        <v>23</v>
      </c>
      <c r="G62" s="210">
        <f>SUM(G59:G61)</f>
        <v>301</v>
      </c>
      <c r="H62" s="210">
        <f t="shared" ref="H62:N62" si="13">SUM(H59:H61)</f>
        <v>388</v>
      </c>
      <c r="I62" s="210">
        <f t="shared" si="13"/>
        <v>719</v>
      </c>
      <c r="J62" s="210">
        <f t="shared" si="13"/>
        <v>758</v>
      </c>
      <c r="K62" s="210">
        <f t="shared" si="13"/>
        <v>987</v>
      </c>
      <c r="L62" s="210">
        <f t="shared" si="13"/>
        <v>1210</v>
      </c>
      <c r="M62" s="210">
        <f t="shared" si="13"/>
        <v>344</v>
      </c>
      <c r="N62" s="210">
        <f t="shared" si="13"/>
        <v>15</v>
      </c>
      <c r="O62" s="210">
        <f>SUM(O59:O61)</f>
        <v>4722</v>
      </c>
    </row>
    <row r="64" spans="2:15" x14ac:dyDescent="0.4">
      <c r="G64" s="176" t="s">
        <v>31</v>
      </c>
      <c r="H64" s="176" t="s">
        <v>30</v>
      </c>
      <c r="I64" s="176" t="s">
        <v>29</v>
      </c>
      <c r="J64" s="176" t="s">
        <v>28</v>
      </c>
      <c r="K64" s="176" t="s">
        <v>27</v>
      </c>
      <c r="L64" s="176" t="s">
        <v>26</v>
      </c>
      <c r="M64" s="176" t="s">
        <v>25</v>
      </c>
      <c r="N64" s="176" t="s">
        <v>63</v>
      </c>
    </row>
    <row r="65" spans="2:15" x14ac:dyDescent="0.4">
      <c r="B65" s="172" t="s">
        <v>54</v>
      </c>
      <c r="G65" s="211">
        <f>G59/G62</f>
        <v>0.12956810631229235</v>
      </c>
      <c r="H65" s="211">
        <f>H59/H62</f>
        <v>9.5360824742268036E-2</v>
      </c>
      <c r="I65" s="211">
        <f t="shared" ref="I65:L65" si="14">I59/I62</f>
        <v>0.10152990264255911</v>
      </c>
      <c r="J65" s="211">
        <f t="shared" si="14"/>
        <v>0.14775725593667546</v>
      </c>
      <c r="K65" s="211">
        <f t="shared" si="14"/>
        <v>8.4093211752786223E-2</v>
      </c>
      <c r="L65" s="211">
        <f t="shared" si="14"/>
        <v>6.6115702479338845E-2</v>
      </c>
      <c r="M65" s="211">
        <f>M59/M62</f>
        <v>5.8139534883720929E-2</v>
      </c>
      <c r="N65" s="211">
        <f>N59/N62</f>
        <v>0</v>
      </c>
    </row>
    <row r="66" spans="2:15" ht="13.5" customHeight="1" x14ac:dyDescent="0.4">
      <c r="B66" s="172" t="s">
        <v>73</v>
      </c>
    </row>
    <row r="67" spans="2:15" x14ac:dyDescent="0.4">
      <c r="D67" s="174" t="s">
        <v>72</v>
      </c>
    </row>
    <row r="68" spans="2:15" x14ac:dyDescent="0.4">
      <c r="C68" s="172" t="s">
        <v>71</v>
      </c>
    </row>
    <row r="69" spans="2:15" x14ac:dyDescent="0.4">
      <c r="G69" s="176" t="s">
        <v>31</v>
      </c>
      <c r="H69" s="176" t="s">
        <v>30</v>
      </c>
      <c r="I69" s="176" t="s">
        <v>29</v>
      </c>
      <c r="J69" s="176" t="s">
        <v>28</v>
      </c>
      <c r="K69" s="176" t="s">
        <v>27</v>
      </c>
      <c r="L69" s="176" t="s">
        <v>26</v>
      </c>
      <c r="M69" s="176" t="s">
        <v>25</v>
      </c>
      <c r="N69" s="176" t="s">
        <v>63</v>
      </c>
      <c r="O69" s="176" t="s">
        <v>70</v>
      </c>
    </row>
    <row r="70" spans="2:15" x14ac:dyDescent="0.4">
      <c r="F70" s="176" t="s">
        <v>58</v>
      </c>
      <c r="G70" s="214">
        <v>301</v>
      </c>
      <c r="H70" s="214">
        <v>388</v>
      </c>
      <c r="I70" s="214">
        <v>715</v>
      </c>
      <c r="J70" s="214">
        <v>751</v>
      </c>
      <c r="K70" s="214">
        <v>963</v>
      </c>
      <c r="L70" s="214">
        <v>1150</v>
      </c>
      <c r="M70" s="214">
        <v>322</v>
      </c>
      <c r="N70" s="214">
        <v>15</v>
      </c>
      <c r="O70" s="215">
        <f>SUM(G70:N70)</f>
        <v>4605</v>
      </c>
    </row>
    <row r="71" spans="2:15" x14ac:dyDescent="0.4">
      <c r="F71" s="176" t="s">
        <v>69</v>
      </c>
      <c r="G71" s="214">
        <v>83</v>
      </c>
      <c r="H71" s="214">
        <v>102</v>
      </c>
      <c r="I71" s="214">
        <v>193</v>
      </c>
      <c r="J71" s="214">
        <v>219</v>
      </c>
      <c r="K71" s="214">
        <v>177</v>
      </c>
      <c r="L71" s="214">
        <v>184</v>
      </c>
      <c r="M71" s="214">
        <v>44</v>
      </c>
      <c r="N71" s="214">
        <v>1</v>
      </c>
      <c r="O71" s="215">
        <f>SUM(G71:N71)</f>
        <v>1003</v>
      </c>
    </row>
    <row r="72" spans="2:15" x14ac:dyDescent="0.4">
      <c r="F72" s="177" t="s">
        <v>68</v>
      </c>
      <c r="G72" s="216">
        <f>G71/G70</f>
        <v>0.27574750830564781</v>
      </c>
      <c r="H72" s="216">
        <f t="shared" ref="H72:N72" si="15">H71/H70</f>
        <v>0.26288659793814434</v>
      </c>
      <c r="I72" s="216">
        <f t="shared" si="15"/>
        <v>0.2699300699300699</v>
      </c>
      <c r="J72" s="216">
        <f t="shared" si="15"/>
        <v>0.29161118508655126</v>
      </c>
      <c r="K72" s="216">
        <f t="shared" si="15"/>
        <v>0.18380062305295949</v>
      </c>
      <c r="L72" s="216">
        <f t="shared" si="15"/>
        <v>0.16</v>
      </c>
      <c r="M72" s="216">
        <f t="shared" si="15"/>
        <v>0.13664596273291926</v>
      </c>
      <c r="N72" s="216">
        <f t="shared" si="15"/>
        <v>6.6666666666666666E-2</v>
      </c>
      <c r="O72" s="216">
        <f>O71/O70</f>
        <v>0.21780673181324647</v>
      </c>
    </row>
    <row r="75" spans="2:15" x14ac:dyDescent="0.4">
      <c r="B75" s="172" t="s">
        <v>67</v>
      </c>
      <c r="O75" s="182" t="s">
        <v>32</v>
      </c>
    </row>
    <row r="76" spans="2:15" ht="9" customHeight="1" x14ac:dyDescent="0.4">
      <c r="O76" s="182"/>
    </row>
    <row r="77" spans="2:15" x14ac:dyDescent="0.4">
      <c r="B77" s="243"/>
      <c r="D77" s="212"/>
      <c r="F77" s="185"/>
      <c r="G77" s="186" t="s">
        <v>31</v>
      </c>
      <c r="H77" s="187" t="s">
        <v>30</v>
      </c>
      <c r="I77" s="187" t="s">
        <v>29</v>
      </c>
      <c r="J77" s="187" t="s">
        <v>28</v>
      </c>
      <c r="K77" s="187" t="s">
        <v>27</v>
      </c>
      <c r="L77" s="187" t="s">
        <v>26</v>
      </c>
      <c r="M77" s="188" t="s">
        <v>25</v>
      </c>
      <c r="N77" s="186" t="s">
        <v>24</v>
      </c>
      <c r="O77" s="187" t="s">
        <v>23</v>
      </c>
    </row>
    <row r="78" spans="2:15" x14ac:dyDescent="0.4">
      <c r="C78" s="244" t="s">
        <v>66</v>
      </c>
      <c r="D78" s="212"/>
      <c r="F78" s="189">
        <v>1</v>
      </c>
      <c r="G78" s="190">
        <v>271</v>
      </c>
      <c r="H78" s="191">
        <v>346</v>
      </c>
      <c r="I78" s="191">
        <v>609</v>
      </c>
      <c r="J78" s="191">
        <v>566</v>
      </c>
      <c r="K78" s="191">
        <v>658</v>
      </c>
      <c r="L78" s="191">
        <v>788</v>
      </c>
      <c r="M78" s="192">
        <v>233</v>
      </c>
      <c r="N78" s="190">
        <v>10</v>
      </c>
      <c r="O78" s="193">
        <f>SUM(G78:N78)</f>
        <v>3481</v>
      </c>
    </row>
    <row r="79" spans="2:15" x14ac:dyDescent="0.4">
      <c r="C79" s="244" t="s">
        <v>65</v>
      </c>
      <c r="D79" s="212"/>
      <c r="F79" s="189">
        <v>2</v>
      </c>
      <c r="G79" s="190">
        <v>30</v>
      </c>
      <c r="H79" s="191">
        <v>40</v>
      </c>
      <c r="I79" s="191">
        <v>103</v>
      </c>
      <c r="J79" s="191">
        <v>176</v>
      </c>
      <c r="K79" s="191">
        <v>306</v>
      </c>
      <c r="L79" s="191">
        <v>376</v>
      </c>
      <c r="M79" s="192">
        <v>90</v>
      </c>
      <c r="N79" s="190">
        <v>4</v>
      </c>
      <c r="O79" s="193">
        <f>SUM(G79:N79)</f>
        <v>1125</v>
      </c>
    </row>
    <row r="80" spans="2:15" x14ac:dyDescent="0.4">
      <c r="C80" s="244" t="s">
        <v>64</v>
      </c>
      <c r="D80" s="212"/>
      <c r="F80" s="204">
        <v>3</v>
      </c>
      <c r="G80" s="205">
        <v>0</v>
      </c>
      <c r="H80" s="206">
        <v>0</v>
      </c>
      <c r="I80" s="206">
        <v>1</v>
      </c>
      <c r="J80" s="206">
        <v>9</v>
      </c>
      <c r="K80" s="206">
        <v>6</v>
      </c>
      <c r="L80" s="206">
        <v>16</v>
      </c>
      <c r="M80" s="207">
        <v>6</v>
      </c>
      <c r="N80" s="190">
        <v>0</v>
      </c>
      <c r="O80" s="193">
        <f>SUM(G80:N80)</f>
        <v>38</v>
      </c>
    </row>
    <row r="81" spans="2:15" x14ac:dyDescent="0.4">
      <c r="C81" s="242" t="s">
        <v>18</v>
      </c>
      <c r="D81" s="212"/>
      <c r="F81" s="208" t="s">
        <v>18</v>
      </c>
      <c r="G81" s="205">
        <v>0</v>
      </c>
      <c r="H81" s="206">
        <v>2</v>
      </c>
      <c r="I81" s="206">
        <v>6</v>
      </c>
      <c r="J81" s="206">
        <v>7</v>
      </c>
      <c r="K81" s="206">
        <v>17</v>
      </c>
      <c r="L81" s="206">
        <v>30</v>
      </c>
      <c r="M81" s="207">
        <v>15</v>
      </c>
      <c r="N81" s="190">
        <v>1</v>
      </c>
      <c r="O81" s="193">
        <f>SUM(G81:N81)</f>
        <v>78</v>
      </c>
    </row>
    <row r="82" spans="2:15" x14ac:dyDescent="0.4">
      <c r="D82" s="181"/>
      <c r="F82" s="209" t="s">
        <v>23</v>
      </c>
      <c r="G82" s="210">
        <f>SUM(G78:G81)</f>
        <v>301</v>
      </c>
      <c r="H82" s="210">
        <f t="shared" ref="H82:N82" si="16">SUM(H78:H81)</f>
        <v>388</v>
      </c>
      <c r="I82" s="210">
        <f t="shared" si="16"/>
        <v>719</v>
      </c>
      <c r="J82" s="210">
        <f t="shared" si="16"/>
        <v>758</v>
      </c>
      <c r="K82" s="210">
        <f t="shared" si="16"/>
        <v>987</v>
      </c>
      <c r="L82" s="210">
        <f t="shared" si="16"/>
        <v>1210</v>
      </c>
      <c r="M82" s="210">
        <f t="shared" si="16"/>
        <v>344</v>
      </c>
      <c r="N82" s="210">
        <f t="shared" si="16"/>
        <v>15</v>
      </c>
      <c r="O82" s="210">
        <f>SUM(O78:O81)</f>
        <v>4722</v>
      </c>
    </row>
    <row r="83" spans="2:15" x14ac:dyDescent="0.4">
      <c r="C83" s="243" t="s">
        <v>22</v>
      </c>
      <c r="D83" s="181"/>
      <c r="F83" s="217"/>
      <c r="G83" s="218"/>
      <c r="H83" s="218"/>
      <c r="I83" s="218"/>
      <c r="J83" s="218"/>
      <c r="K83" s="218"/>
      <c r="L83" s="218"/>
      <c r="M83" s="218"/>
      <c r="N83" s="218"/>
      <c r="O83" s="218"/>
    </row>
    <row r="84" spans="2:15" x14ac:dyDescent="0.4">
      <c r="C84" s="244" t="s">
        <v>66</v>
      </c>
      <c r="D84" s="181"/>
      <c r="F84" s="219">
        <f>O78/$O$82</f>
        <v>0.73718763235916984</v>
      </c>
      <c r="G84" s="218"/>
      <c r="H84" s="218"/>
      <c r="I84" s="218"/>
      <c r="J84" s="218"/>
      <c r="K84" s="218"/>
      <c r="L84" s="218"/>
      <c r="M84" s="218"/>
      <c r="N84" s="218"/>
      <c r="O84" s="218"/>
    </row>
    <row r="85" spans="2:15" x14ac:dyDescent="0.4">
      <c r="C85" s="244" t="s">
        <v>65</v>
      </c>
      <c r="D85" s="181"/>
      <c r="F85" s="219">
        <f>O79/$O$82</f>
        <v>0.23824650571791614</v>
      </c>
      <c r="G85" s="218"/>
      <c r="H85" s="218"/>
      <c r="I85" s="218"/>
      <c r="J85" s="218"/>
      <c r="K85" s="218"/>
      <c r="L85" s="218"/>
      <c r="M85" s="218"/>
      <c r="N85" s="218"/>
      <c r="O85" s="218"/>
    </row>
    <row r="86" spans="2:15" x14ac:dyDescent="0.4">
      <c r="C86" s="244" t="s">
        <v>64</v>
      </c>
      <c r="D86" s="181"/>
      <c r="F86" s="219">
        <f>O80/$O$82</f>
        <v>8.0474375264718342E-3</v>
      </c>
      <c r="G86" s="218"/>
      <c r="H86" s="218"/>
      <c r="I86" s="218"/>
      <c r="J86" s="218"/>
      <c r="K86" s="218"/>
      <c r="L86" s="218"/>
      <c r="M86" s="218"/>
      <c r="N86" s="218"/>
      <c r="O86" s="218"/>
    </row>
    <row r="87" spans="2:15" x14ac:dyDescent="0.4">
      <c r="C87" s="242" t="s">
        <v>18</v>
      </c>
      <c r="D87" s="181"/>
      <c r="F87" s="219">
        <f>O81/$O$82</f>
        <v>1.6518424396442185E-2</v>
      </c>
      <c r="G87" s="218"/>
      <c r="H87" s="218"/>
      <c r="I87" s="218"/>
      <c r="J87" s="218"/>
      <c r="K87" s="218"/>
      <c r="L87" s="218"/>
      <c r="M87" s="218"/>
      <c r="N87" s="218"/>
      <c r="O87" s="218"/>
    </row>
    <row r="89" spans="2:15" x14ac:dyDescent="0.4">
      <c r="B89" s="172" t="s">
        <v>54</v>
      </c>
      <c r="G89" s="176" t="s">
        <v>31</v>
      </c>
      <c r="H89" s="176" t="s">
        <v>30</v>
      </c>
      <c r="I89" s="176" t="s">
        <v>29</v>
      </c>
      <c r="J89" s="176" t="s">
        <v>28</v>
      </c>
      <c r="K89" s="176" t="s">
        <v>27</v>
      </c>
      <c r="L89" s="176" t="s">
        <v>26</v>
      </c>
      <c r="M89" s="176" t="s">
        <v>25</v>
      </c>
      <c r="N89" s="176" t="s">
        <v>63</v>
      </c>
    </row>
    <row r="90" spans="2:15" x14ac:dyDescent="0.4">
      <c r="B90" s="172" t="s">
        <v>62</v>
      </c>
      <c r="G90" s="211">
        <f>G78/G82</f>
        <v>0.90033222591362128</v>
      </c>
      <c r="H90" s="211">
        <f t="shared" ref="H90:N90" si="17">H78/H82</f>
        <v>0.89175257731958768</v>
      </c>
      <c r="I90" s="211">
        <f t="shared" si="17"/>
        <v>0.847009735744089</v>
      </c>
      <c r="J90" s="211">
        <f t="shared" si="17"/>
        <v>0.74670184696569919</v>
      </c>
      <c r="K90" s="211">
        <f t="shared" si="17"/>
        <v>0.66666666666666663</v>
      </c>
      <c r="L90" s="211">
        <f t="shared" si="17"/>
        <v>0.65123966942148759</v>
      </c>
      <c r="M90" s="211">
        <f t="shared" si="17"/>
        <v>0.67732558139534882</v>
      </c>
      <c r="N90" s="211">
        <f t="shared" si="17"/>
        <v>0.66666666666666663</v>
      </c>
    </row>
    <row r="91" spans="2:15" x14ac:dyDescent="0.4">
      <c r="D91" s="174" t="s">
        <v>61</v>
      </c>
    </row>
    <row r="92" spans="2:15" ht="14.25" customHeight="1" x14ac:dyDescent="0.4"/>
    <row r="93" spans="2:15" ht="14.25" customHeight="1" x14ac:dyDescent="0.4">
      <c r="B93" s="172" t="s">
        <v>60</v>
      </c>
      <c r="O93" s="182" t="s">
        <v>59</v>
      </c>
    </row>
    <row r="94" spans="2:15" ht="9" customHeight="1" x14ac:dyDescent="0.4"/>
    <row r="95" spans="2:15" ht="14.25" customHeight="1" x14ac:dyDescent="0.4">
      <c r="F95" s="185"/>
      <c r="G95" s="186" t="s">
        <v>31</v>
      </c>
      <c r="H95" s="187" t="s">
        <v>30</v>
      </c>
      <c r="I95" s="187" t="s">
        <v>29</v>
      </c>
      <c r="J95" s="187" t="s">
        <v>28</v>
      </c>
      <c r="K95" s="187" t="s">
        <v>27</v>
      </c>
      <c r="L95" s="187" t="s">
        <v>26</v>
      </c>
      <c r="M95" s="188" t="s">
        <v>25</v>
      </c>
      <c r="N95" s="186" t="s">
        <v>24</v>
      </c>
      <c r="O95" s="187" t="s">
        <v>23</v>
      </c>
    </row>
    <row r="96" spans="2:15" x14ac:dyDescent="0.4">
      <c r="F96" s="220" t="s">
        <v>58</v>
      </c>
      <c r="G96" s="190">
        <v>292</v>
      </c>
      <c r="H96" s="191">
        <v>376</v>
      </c>
      <c r="I96" s="191">
        <v>670</v>
      </c>
      <c r="J96" s="191">
        <v>709</v>
      </c>
      <c r="K96" s="191">
        <v>911</v>
      </c>
      <c r="L96" s="191">
        <v>1107</v>
      </c>
      <c r="M96" s="192">
        <v>320</v>
      </c>
      <c r="N96" s="190">
        <v>14</v>
      </c>
      <c r="O96" s="193">
        <f>SUM(G96:N96)</f>
        <v>4399</v>
      </c>
    </row>
    <row r="97" spans="2:15" x14ac:dyDescent="0.4">
      <c r="F97" s="208" t="s">
        <v>18</v>
      </c>
      <c r="G97" s="190">
        <v>9</v>
      </c>
      <c r="H97" s="191">
        <v>12</v>
      </c>
      <c r="I97" s="191">
        <v>49</v>
      </c>
      <c r="J97" s="191">
        <v>49</v>
      </c>
      <c r="K97" s="191">
        <v>76</v>
      </c>
      <c r="L97" s="191">
        <v>103</v>
      </c>
      <c r="M97" s="192">
        <v>24</v>
      </c>
      <c r="N97" s="190">
        <v>1</v>
      </c>
      <c r="O97" s="193">
        <f>SUM(G97:N97)</f>
        <v>323</v>
      </c>
    </row>
    <row r="98" spans="2:15" x14ac:dyDescent="0.4">
      <c r="F98" s="209" t="s">
        <v>23</v>
      </c>
      <c r="G98" s="221">
        <f>SUM(G96:G97)</f>
        <v>301</v>
      </c>
      <c r="H98" s="221">
        <f t="shared" ref="H98:M98" si="18">SUM(H96:H97)</f>
        <v>388</v>
      </c>
      <c r="I98" s="221">
        <f t="shared" si="18"/>
        <v>719</v>
      </c>
      <c r="J98" s="221">
        <f t="shared" si="18"/>
        <v>758</v>
      </c>
      <c r="K98" s="221">
        <f t="shared" si="18"/>
        <v>987</v>
      </c>
      <c r="L98" s="221">
        <f t="shared" si="18"/>
        <v>1210</v>
      </c>
      <c r="M98" s="221">
        <f t="shared" si="18"/>
        <v>344</v>
      </c>
      <c r="N98" s="221">
        <f>SUM(N96:N97)</f>
        <v>15</v>
      </c>
      <c r="O98" s="193">
        <f>SUM(G98:N98)</f>
        <v>4722</v>
      </c>
    </row>
    <row r="99" spans="2:15" x14ac:dyDescent="0.4">
      <c r="F99" s="220" t="s">
        <v>57</v>
      </c>
      <c r="G99" s="190">
        <v>15</v>
      </c>
      <c r="H99" s="191">
        <v>0</v>
      </c>
      <c r="I99" s="191">
        <v>0</v>
      </c>
      <c r="J99" s="191">
        <v>0</v>
      </c>
      <c r="K99" s="191">
        <v>0</v>
      </c>
      <c r="L99" s="191">
        <v>0</v>
      </c>
      <c r="M99" s="192">
        <v>0</v>
      </c>
      <c r="N99" s="190">
        <v>0</v>
      </c>
      <c r="O99" s="222"/>
    </row>
    <row r="100" spans="2:15" x14ac:dyDescent="0.4">
      <c r="F100" s="178" t="s">
        <v>56</v>
      </c>
      <c r="G100" s="205">
        <v>30</v>
      </c>
      <c r="H100" s="206">
        <v>32</v>
      </c>
      <c r="I100" s="206">
        <v>32</v>
      </c>
      <c r="J100" s="206">
        <v>31</v>
      </c>
      <c r="K100" s="206">
        <v>31</v>
      </c>
      <c r="L100" s="206">
        <v>32</v>
      </c>
      <c r="M100" s="207">
        <v>28</v>
      </c>
      <c r="N100" s="190">
        <v>23</v>
      </c>
      <c r="O100" s="223"/>
    </row>
    <row r="101" spans="2:15" x14ac:dyDescent="0.4">
      <c r="F101" s="178" t="s">
        <v>55</v>
      </c>
      <c r="G101" s="224">
        <v>27.582191780821919</v>
      </c>
      <c r="H101" s="225">
        <v>27.329787234042552</v>
      </c>
      <c r="I101" s="225">
        <v>26.755223880597015</v>
      </c>
      <c r="J101" s="225">
        <v>24.265162200282088</v>
      </c>
      <c r="K101" s="225">
        <v>20.478594950603732</v>
      </c>
      <c r="L101" s="225">
        <v>16.960252935862691</v>
      </c>
      <c r="M101" s="226">
        <v>13.559374999999999</v>
      </c>
      <c r="N101" s="227">
        <v>9.8333333333333339</v>
      </c>
      <c r="O101" s="223"/>
    </row>
    <row r="102" spans="2:15" x14ac:dyDescent="0.4">
      <c r="B102" s="172" t="s">
        <v>54</v>
      </c>
    </row>
    <row r="103" spans="2:15" x14ac:dyDescent="0.4">
      <c r="B103" s="172" t="s">
        <v>53</v>
      </c>
    </row>
    <row r="104" spans="2:15" x14ac:dyDescent="0.4">
      <c r="D104" s="174" t="s">
        <v>52</v>
      </c>
      <c r="G104" s="174" t="s">
        <v>51</v>
      </c>
      <c r="J104" s="174" t="s">
        <v>50</v>
      </c>
    </row>
    <row r="105" spans="2:15" x14ac:dyDescent="0.4">
      <c r="B105" s="172" t="s">
        <v>49</v>
      </c>
      <c r="G105" s="174" t="s">
        <v>48</v>
      </c>
      <c r="H105" s="180">
        <v>734</v>
      </c>
      <c r="J105" s="174" t="s">
        <v>48</v>
      </c>
      <c r="K105" s="180">
        <v>657</v>
      </c>
    </row>
    <row r="106" spans="2:15" x14ac:dyDescent="0.4">
      <c r="D106" s="174" t="s">
        <v>47</v>
      </c>
      <c r="G106" s="174" t="s">
        <v>46</v>
      </c>
      <c r="H106" s="228">
        <v>16679</v>
      </c>
      <c r="J106" s="174" t="s">
        <v>46</v>
      </c>
      <c r="K106" s="228">
        <v>10367</v>
      </c>
    </row>
    <row r="107" spans="2:15" x14ac:dyDescent="0.4">
      <c r="G107" s="174" t="s">
        <v>45</v>
      </c>
      <c r="H107" s="229">
        <v>22.723433242506811</v>
      </c>
      <c r="J107" s="174" t="s">
        <v>45</v>
      </c>
      <c r="K107" s="229">
        <v>15.779299847792998</v>
      </c>
    </row>
    <row r="108" spans="2:15" x14ac:dyDescent="0.4">
      <c r="G108" s="174" t="s">
        <v>44</v>
      </c>
      <c r="H108" s="180">
        <v>468</v>
      </c>
      <c r="J108" s="174" t="s">
        <v>44</v>
      </c>
      <c r="K108" s="180">
        <v>295</v>
      </c>
    </row>
    <row r="109" spans="2:15" x14ac:dyDescent="0.4">
      <c r="G109" s="174" t="s">
        <v>43</v>
      </c>
      <c r="H109" s="230">
        <f>H108/H105</f>
        <v>0.63760217983651224</v>
      </c>
      <c r="J109" s="174" t="s">
        <v>43</v>
      </c>
      <c r="K109" s="230">
        <f>K108/K105</f>
        <v>0.44901065449010652</v>
      </c>
    </row>
    <row r="110" spans="2:15" x14ac:dyDescent="0.4">
      <c r="G110" s="231"/>
      <c r="J110" s="231"/>
    </row>
    <row r="111" spans="2:15" x14ac:dyDescent="0.4">
      <c r="G111" s="231"/>
      <c r="J111" s="231"/>
    </row>
    <row r="112" spans="2:15" x14ac:dyDescent="0.4">
      <c r="B112" s="172" t="s">
        <v>42</v>
      </c>
      <c r="O112" s="182" t="s">
        <v>32</v>
      </c>
    </row>
    <row r="113" spans="2:16" ht="9" customHeight="1" x14ac:dyDescent="0.4">
      <c r="O113" s="182"/>
    </row>
    <row r="114" spans="2:16" x14ac:dyDescent="0.4">
      <c r="F114" s="185"/>
      <c r="G114" s="186" t="s">
        <v>31</v>
      </c>
      <c r="H114" s="187" t="s">
        <v>30</v>
      </c>
      <c r="I114" s="187" t="s">
        <v>29</v>
      </c>
      <c r="J114" s="187" t="s">
        <v>28</v>
      </c>
      <c r="K114" s="187" t="s">
        <v>27</v>
      </c>
      <c r="L114" s="187" t="s">
        <v>26</v>
      </c>
      <c r="M114" s="188" t="s">
        <v>25</v>
      </c>
      <c r="N114" s="186" t="s">
        <v>24</v>
      </c>
      <c r="O114" s="187" t="s">
        <v>23</v>
      </c>
    </row>
    <row r="115" spans="2:16" x14ac:dyDescent="0.4">
      <c r="C115" s="172" t="s">
        <v>38</v>
      </c>
      <c r="F115" s="189">
        <v>1</v>
      </c>
      <c r="G115" s="190">
        <v>79</v>
      </c>
      <c r="H115" s="191">
        <v>71</v>
      </c>
      <c r="I115" s="191">
        <v>189</v>
      </c>
      <c r="J115" s="191">
        <v>175</v>
      </c>
      <c r="K115" s="191">
        <v>123</v>
      </c>
      <c r="L115" s="191">
        <v>89</v>
      </c>
      <c r="M115" s="192">
        <v>13</v>
      </c>
      <c r="N115" s="190">
        <v>0</v>
      </c>
      <c r="O115" s="193">
        <f>SUM(G115:N115)</f>
        <v>739</v>
      </c>
    </row>
    <row r="116" spans="2:16" x14ac:dyDescent="0.4">
      <c r="C116" s="172" t="s">
        <v>41</v>
      </c>
      <c r="F116" s="189">
        <v>2</v>
      </c>
      <c r="G116" s="190">
        <v>19</v>
      </c>
      <c r="H116" s="191">
        <v>83</v>
      </c>
      <c r="I116" s="191">
        <v>193</v>
      </c>
      <c r="J116" s="191">
        <v>222</v>
      </c>
      <c r="K116" s="191">
        <v>335</v>
      </c>
      <c r="L116" s="191">
        <v>403</v>
      </c>
      <c r="M116" s="192">
        <v>103</v>
      </c>
      <c r="N116" s="190">
        <v>2</v>
      </c>
      <c r="O116" s="193">
        <f>SUM(G116:N116)</f>
        <v>1360</v>
      </c>
    </row>
    <row r="117" spans="2:16" x14ac:dyDescent="0.4">
      <c r="C117" s="172" t="s">
        <v>40</v>
      </c>
      <c r="F117" s="189">
        <v>3</v>
      </c>
      <c r="G117" s="190">
        <v>196</v>
      </c>
      <c r="H117" s="191">
        <v>222</v>
      </c>
      <c r="I117" s="191">
        <v>320</v>
      </c>
      <c r="J117" s="191">
        <v>332</v>
      </c>
      <c r="K117" s="191">
        <v>479</v>
      </c>
      <c r="L117" s="191">
        <v>667</v>
      </c>
      <c r="M117" s="192">
        <v>219</v>
      </c>
      <c r="N117" s="190">
        <v>13</v>
      </c>
      <c r="O117" s="193">
        <f>SUM(G117:N117)</f>
        <v>2448</v>
      </c>
    </row>
    <row r="118" spans="2:16" x14ac:dyDescent="0.4">
      <c r="F118" s="208" t="s">
        <v>18</v>
      </c>
      <c r="G118" s="205">
        <v>7</v>
      </c>
      <c r="H118" s="206">
        <v>12</v>
      </c>
      <c r="I118" s="206">
        <v>17</v>
      </c>
      <c r="J118" s="206">
        <v>29</v>
      </c>
      <c r="K118" s="206">
        <v>50</v>
      </c>
      <c r="L118" s="206">
        <v>51</v>
      </c>
      <c r="M118" s="207">
        <v>9</v>
      </c>
      <c r="N118" s="190">
        <v>0</v>
      </c>
      <c r="O118" s="193">
        <f>SUM(G118:N118)</f>
        <v>175</v>
      </c>
    </row>
    <row r="119" spans="2:16" x14ac:dyDescent="0.4">
      <c r="F119" s="209" t="s">
        <v>23</v>
      </c>
      <c r="G119" s="210">
        <f>SUM(G115:G118)</f>
        <v>301</v>
      </c>
      <c r="H119" s="210">
        <f t="shared" ref="H119:N119" si="19">SUM(H115:H118)</f>
        <v>388</v>
      </c>
      <c r="I119" s="210">
        <f t="shared" si="19"/>
        <v>719</v>
      </c>
      <c r="J119" s="210">
        <f t="shared" si="19"/>
        <v>758</v>
      </c>
      <c r="K119" s="210">
        <f t="shared" si="19"/>
        <v>987</v>
      </c>
      <c r="L119" s="210">
        <f t="shared" si="19"/>
        <v>1210</v>
      </c>
      <c r="M119" s="210">
        <f t="shared" si="19"/>
        <v>344</v>
      </c>
      <c r="N119" s="210">
        <f t="shared" si="19"/>
        <v>15</v>
      </c>
      <c r="O119" s="193">
        <f>SUM(F119:N119)</f>
        <v>4722</v>
      </c>
    </row>
    <row r="120" spans="2:16" x14ac:dyDescent="0.4">
      <c r="C120" s="172" t="s">
        <v>22</v>
      </c>
      <c r="F120" s="232" t="s">
        <v>39</v>
      </c>
      <c r="G120" s="199">
        <f>G115/G119</f>
        <v>0.26245847176079734</v>
      </c>
      <c r="H120" s="199">
        <f>H115/H119</f>
        <v>0.18298969072164947</v>
      </c>
      <c r="I120" s="199">
        <f>I115/I119</f>
        <v>0.26286509040333794</v>
      </c>
      <c r="J120" s="199">
        <f t="shared" ref="J120:M120" si="20">J115/J119</f>
        <v>0.23087071240105542</v>
      </c>
      <c r="K120" s="199">
        <f t="shared" si="20"/>
        <v>0.12462006079027356</v>
      </c>
      <c r="L120" s="199">
        <f t="shared" si="20"/>
        <v>7.3553719008264462E-2</v>
      </c>
      <c r="M120" s="199">
        <f t="shared" si="20"/>
        <v>3.7790697674418602E-2</v>
      </c>
      <c r="N120" s="199">
        <f>N115/N119</f>
        <v>0</v>
      </c>
      <c r="O120" s="233"/>
      <c r="P120" s="195"/>
    </row>
    <row r="121" spans="2:16" x14ac:dyDescent="0.4">
      <c r="C121" s="172" t="s">
        <v>38</v>
      </c>
      <c r="D121" s="212">
        <f>O115/$O$119</f>
        <v>0.15650148242270223</v>
      </c>
      <c r="I121" s="203"/>
    </row>
    <row r="122" spans="2:16" x14ac:dyDescent="0.4">
      <c r="C122" s="243" t="s">
        <v>37</v>
      </c>
      <c r="D122" s="212">
        <f>O116/$O$119</f>
        <v>0.28801355357899194</v>
      </c>
    </row>
    <row r="123" spans="2:16" x14ac:dyDescent="0.4">
      <c r="C123" s="172" t="s">
        <v>36</v>
      </c>
      <c r="D123" s="212">
        <f>O117/$O$119</f>
        <v>0.51842439644218552</v>
      </c>
      <c r="J123" s="195"/>
    </row>
    <row r="124" spans="2:16" x14ac:dyDescent="0.4">
      <c r="C124" s="242" t="s">
        <v>18</v>
      </c>
      <c r="D124" s="212">
        <f>O118/$O$119</f>
        <v>3.7060567556120291E-2</v>
      </c>
    </row>
    <row r="126" spans="2:16" x14ac:dyDescent="0.4">
      <c r="B126" s="172" t="s">
        <v>35</v>
      </c>
      <c r="O126" s="182" t="s">
        <v>32</v>
      </c>
    </row>
    <row r="127" spans="2:16" ht="9" customHeight="1" x14ac:dyDescent="0.4"/>
    <row r="128" spans="2:16" x14ac:dyDescent="0.4">
      <c r="F128" s="185"/>
      <c r="G128" s="186" t="s">
        <v>31</v>
      </c>
      <c r="H128" s="187" t="s">
        <v>30</v>
      </c>
      <c r="I128" s="187" t="s">
        <v>29</v>
      </c>
      <c r="J128" s="187" t="s">
        <v>28</v>
      </c>
      <c r="K128" s="187" t="s">
        <v>27</v>
      </c>
      <c r="L128" s="187" t="s">
        <v>26</v>
      </c>
      <c r="M128" s="188" t="s">
        <v>25</v>
      </c>
      <c r="N128" s="186" t="s">
        <v>24</v>
      </c>
      <c r="O128" s="187" t="s">
        <v>23</v>
      </c>
    </row>
    <row r="129" spans="2:15" x14ac:dyDescent="0.4">
      <c r="C129" s="172" t="s">
        <v>21</v>
      </c>
      <c r="F129" s="189">
        <v>1</v>
      </c>
      <c r="G129" s="190">
        <v>180</v>
      </c>
      <c r="H129" s="191">
        <v>222</v>
      </c>
      <c r="I129" s="191">
        <v>292</v>
      </c>
      <c r="J129" s="191">
        <v>291</v>
      </c>
      <c r="K129" s="191">
        <v>345</v>
      </c>
      <c r="L129" s="191">
        <v>471</v>
      </c>
      <c r="M129" s="192">
        <v>118</v>
      </c>
      <c r="N129" s="190">
        <v>8</v>
      </c>
      <c r="O129" s="193">
        <f>SUM(G129:N129)</f>
        <v>1927</v>
      </c>
    </row>
    <row r="130" spans="2:15" x14ac:dyDescent="0.4">
      <c r="C130" s="172" t="s">
        <v>20</v>
      </c>
      <c r="F130" s="189">
        <v>2</v>
      </c>
      <c r="G130" s="190">
        <v>62</v>
      </c>
      <c r="H130" s="191">
        <v>68</v>
      </c>
      <c r="I130" s="191">
        <v>148</v>
      </c>
      <c r="J130" s="191">
        <v>158</v>
      </c>
      <c r="K130" s="191">
        <v>171</v>
      </c>
      <c r="L130" s="191">
        <v>228</v>
      </c>
      <c r="M130" s="192">
        <v>67</v>
      </c>
      <c r="N130" s="190">
        <v>2</v>
      </c>
      <c r="O130" s="193">
        <f>SUM(G130:N130)</f>
        <v>904</v>
      </c>
    </row>
    <row r="131" spans="2:15" x14ac:dyDescent="0.4">
      <c r="C131" s="172" t="s">
        <v>19</v>
      </c>
      <c r="F131" s="204">
        <v>3</v>
      </c>
      <c r="G131" s="205">
        <v>53</v>
      </c>
      <c r="H131" s="206">
        <v>83</v>
      </c>
      <c r="I131" s="206">
        <v>257</v>
      </c>
      <c r="J131" s="206">
        <v>277</v>
      </c>
      <c r="K131" s="206">
        <v>413</v>
      </c>
      <c r="L131" s="206">
        <v>439</v>
      </c>
      <c r="M131" s="207">
        <v>129</v>
      </c>
      <c r="N131" s="190">
        <v>4</v>
      </c>
      <c r="O131" s="193">
        <f>SUM(G131:N131)</f>
        <v>1655</v>
      </c>
    </row>
    <row r="132" spans="2:15" x14ac:dyDescent="0.4">
      <c r="F132" s="208" t="s">
        <v>18</v>
      </c>
      <c r="G132" s="205">
        <v>6</v>
      </c>
      <c r="H132" s="206">
        <v>15</v>
      </c>
      <c r="I132" s="206">
        <v>22</v>
      </c>
      <c r="J132" s="206">
        <v>32</v>
      </c>
      <c r="K132" s="206">
        <v>58</v>
      </c>
      <c r="L132" s="206">
        <v>72</v>
      </c>
      <c r="M132" s="207">
        <v>30</v>
      </c>
      <c r="N132" s="190">
        <v>1</v>
      </c>
      <c r="O132" s="193">
        <f>SUM(G132:N132)</f>
        <v>236</v>
      </c>
    </row>
    <row r="133" spans="2:15" x14ac:dyDescent="0.4">
      <c r="F133" s="209" t="s">
        <v>23</v>
      </c>
      <c r="G133" s="210">
        <f>SUM(G129:G132)</f>
        <v>301</v>
      </c>
      <c r="H133" s="210">
        <f t="shared" ref="H133:N133" si="21">SUM(H129:H132)</f>
        <v>388</v>
      </c>
      <c r="I133" s="210">
        <f t="shared" si="21"/>
        <v>719</v>
      </c>
      <c r="J133" s="210">
        <f t="shared" si="21"/>
        <v>758</v>
      </c>
      <c r="K133" s="210">
        <f t="shared" si="21"/>
        <v>987</v>
      </c>
      <c r="L133" s="210">
        <f t="shared" si="21"/>
        <v>1210</v>
      </c>
      <c r="M133" s="210">
        <f t="shared" si="21"/>
        <v>344</v>
      </c>
      <c r="N133" s="210">
        <f t="shared" si="21"/>
        <v>15</v>
      </c>
      <c r="O133" s="210">
        <f>SUM(O129:O132)</f>
        <v>4722</v>
      </c>
    </row>
    <row r="134" spans="2:15" x14ac:dyDescent="0.4">
      <c r="C134" s="172" t="s">
        <v>22</v>
      </c>
    </row>
    <row r="135" spans="2:15" x14ac:dyDescent="0.4">
      <c r="C135" s="172" t="s">
        <v>21</v>
      </c>
      <c r="E135" s="212">
        <f>O129/$O$133</f>
        <v>0.40808979246082167</v>
      </c>
    </row>
    <row r="136" spans="2:15" x14ac:dyDescent="0.4">
      <c r="C136" s="172" t="s">
        <v>20</v>
      </c>
      <c r="E136" s="212">
        <f>O130/$O$133</f>
        <v>0.19144430326132994</v>
      </c>
    </row>
    <row r="137" spans="2:15" x14ac:dyDescent="0.4">
      <c r="C137" s="172" t="s">
        <v>19</v>
      </c>
      <c r="E137" s="212">
        <f>O131/$O$133</f>
        <v>0.3504870817450233</v>
      </c>
    </row>
    <row r="138" spans="2:15" x14ac:dyDescent="0.4">
      <c r="C138" s="242" t="s">
        <v>18</v>
      </c>
      <c r="D138" s="213"/>
      <c r="E138" s="212">
        <f>O132/$O$133</f>
        <v>4.9978822532825075E-2</v>
      </c>
    </row>
    <row r="140" spans="2:15" x14ac:dyDescent="0.4">
      <c r="B140" s="172" t="s">
        <v>34</v>
      </c>
      <c r="O140" s="182" t="s">
        <v>32</v>
      </c>
    </row>
    <row r="141" spans="2:15" ht="9" customHeight="1" x14ac:dyDescent="0.4"/>
    <row r="142" spans="2:15" x14ac:dyDescent="0.4">
      <c r="F142" s="185"/>
      <c r="G142" s="186" t="s">
        <v>31</v>
      </c>
      <c r="H142" s="187" t="s">
        <v>30</v>
      </c>
      <c r="I142" s="187" t="s">
        <v>29</v>
      </c>
      <c r="J142" s="187" t="s">
        <v>28</v>
      </c>
      <c r="K142" s="187" t="s">
        <v>27</v>
      </c>
      <c r="L142" s="187" t="s">
        <v>26</v>
      </c>
      <c r="M142" s="188" t="s">
        <v>25</v>
      </c>
      <c r="N142" s="186" t="s">
        <v>24</v>
      </c>
      <c r="O142" s="187" t="s">
        <v>23</v>
      </c>
    </row>
    <row r="143" spans="2:15" x14ac:dyDescent="0.4">
      <c r="C143" s="172" t="s">
        <v>21</v>
      </c>
      <c r="F143" s="189">
        <v>1</v>
      </c>
      <c r="G143" s="190">
        <v>231</v>
      </c>
      <c r="H143" s="191">
        <v>299</v>
      </c>
      <c r="I143" s="191">
        <v>509</v>
      </c>
      <c r="J143" s="191">
        <v>524</v>
      </c>
      <c r="K143" s="191">
        <v>630</v>
      </c>
      <c r="L143" s="191">
        <v>741</v>
      </c>
      <c r="M143" s="192">
        <v>191</v>
      </c>
      <c r="N143" s="190">
        <v>9</v>
      </c>
      <c r="O143" s="193">
        <f>SUM(G143:N143)</f>
        <v>3134</v>
      </c>
    </row>
    <row r="144" spans="2:15" x14ac:dyDescent="0.4">
      <c r="C144" s="172" t="s">
        <v>20</v>
      </c>
      <c r="F144" s="189">
        <v>2</v>
      </c>
      <c r="G144" s="190">
        <v>44</v>
      </c>
      <c r="H144" s="191">
        <v>49</v>
      </c>
      <c r="I144" s="191">
        <v>137</v>
      </c>
      <c r="J144" s="191">
        <v>163</v>
      </c>
      <c r="K144" s="191">
        <v>233</v>
      </c>
      <c r="L144" s="191">
        <v>282</v>
      </c>
      <c r="M144" s="192">
        <v>79</v>
      </c>
      <c r="N144" s="190">
        <v>4</v>
      </c>
      <c r="O144" s="193">
        <f>SUM(G144:N144)</f>
        <v>991</v>
      </c>
    </row>
    <row r="145" spans="2:15" x14ac:dyDescent="0.4">
      <c r="C145" s="172" t="s">
        <v>19</v>
      </c>
      <c r="F145" s="204">
        <v>3</v>
      </c>
      <c r="G145" s="205">
        <v>20</v>
      </c>
      <c r="H145" s="206">
        <v>24</v>
      </c>
      <c r="I145" s="206">
        <v>50</v>
      </c>
      <c r="J145" s="206">
        <v>37</v>
      </c>
      <c r="K145" s="206">
        <v>62</v>
      </c>
      <c r="L145" s="206">
        <v>83</v>
      </c>
      <c r="M145" s="207">
        <v>34</v>
      </c>
      <c r="N145" s="190">
        <v>1</v>
      </c>
      <c r="O145" s="193">
        <f>SUM(G145:N145)</f>
        <v>311</v>
      </c>
    </row>
    <row r="146" spans="2:15" x14ac:dyDescent="0.4">
      <c r="F146" s="208" t="s">
        <v>18</v>
      </c>
      <c r="G146" s="205">
        <v>6</v>
      </c>
      <c r="H146" s="206">
        <v>16</v>
      </c>
      <c r="I146" s="206">
        <v>23</v>
      </c>
      <c r="J146" s="206">
        <v>34</v>
      </c>
      <c r="K146" s="206">
        <v>62</v>
      </c>
      <c r="L146" s="206">
        <v>104</v>
      </c>
      <c r="M146" s="207">
        <v>40</v>
      </c>
      <c r="N146" s="190">
        <v>1</v>
      </c>
      <c r="O146" s="193">
        <f>SUM(G146:N146)</f>
        <v>286</v>
      </c>
    </row>
    <row r="147" spans="2:15" x14ac:dyDescent="0.4">
      <c r="F147" s="209" t="s">
        <v>23</v>
      </c>
      <c r="G147" s="210">
        <f>SUM(G143:G146)</f>
        <v>301</v>
      </c>
      <c r="H147" s="210">
        <f t="shared" ref="H147:N147" si="22">SUM(H143:H146)</f>
        <v>388</v>
      </c>
      <c r="I147" s="210">
        <f t="shared" si="22"/>
        <v>719</v>
      </c>
      <c r="J147" s="210">
        <f t="shared" si="22"/>
        <v>758</v>
      </c>
      <c r="K147" s="210">
        <f t="shared" si="22"/>
        <v>987</v>
      </c>
      <c r="L147" s="210">
        <f t="shared" si="22"/>
        <v>1210</v>
      </c>
      <c r="M147" s="210">
        <f t="shared" si="22"/>
        <v>344</v>
      </c>
      <c r="N147" s="210">
        <f t="shared" si="22"/>
        <v>15</v>
      </c>
      <c r="O147" s="210">
        <f>SUM(O143:O146)</f>
        <v>4722</v>
      </c>
    </row>
    <row r="148" spans="2:15" x14ac:dyDescent="0.4">
      <c r="C148" s="172" t="s">
        <v>22</v>
      </c>
    </row>
    <row r="149" spans="2:15" x14ac:dyDescent="0.4">
      <c r="C149" s="172" t="s">
        <v>21</v>
      </c>
      <c r="E149" s="212">
        <f>O143/$O$147</f>
        <v>0.66370182126217703</v>
      </c>
    </row>
    <row r="150" spans="2:15" x14ac:dyDescent="0.4">
      <c r="C150" s="172" t="s">
        <v>20</v>
      </c>
      <c r="E150" s="212">
        <f>O144/$O$147</f>
        <v>0.20986869970351546</v>
      </c>
    </row>
    <row r="151" spans="2:15" x14ac:dyDescent="0.4">
      <c r="C151" s="172" t="s">
        <v>19</v>
      </c>
      <c r="E151" s="212">
        <f>O145/$O$147</f>
        <v>6.5861922914019488E-2</v>
      </c>
    </row>
    <row r="152" spans="2:15" x14ac:dyDescent="0.4">
      <c r="C152" s="242" t="s">
        <v>18</v>
      </c>
      <c r="D152" s="213"/>
      <c r="E152" s="212">
        <f>O146/$O$147</f>
        <v>6.056755612028801E-2</v>
      </c>
    </row>
    <row r="154" spans="2:15" x14ac:dyDescent="0.4">
      <c r="B154" s="172" t="s">
        <v>33</v>
      </c>
      <c r="O154" s="182" t="s">
        <v>32</v>
      </c>
    </row>
    <row r="155" spans="2:15" ht="9" customHeight="1" x14ac:dyDescent="0.4"/>
    <row r="156" spans="2:15" x14ac:dyDescent="0.4">
      <c r="F156" s="185"/>
      <c r="G156" s="186" t="s">
        <v>31</v>
      </c>
      <c r="H156" s="187" t="s">
        <v>30</v>
      </c>
      <c r="I156" s="187" t="s">
        <v>29</v>
      </c>
      <c r="J156" s="187" t="s">
        <v>28</v>
      </c>
      <c r="K156" s="187" t="s">
        <v>27</v>
      </c>
      <c r="L156" s="187" t="s">
        <v>26</v>
      </c>
      <c r="M156" s="188" t="s">
        <v>25</v>
      </c>
      <c r="N156" s="186" t="s">
        <v>24</v>
      </c>
      <c r="O156" s="187" t="s">
        <v>23</v>
      </c>
    </row>
    <row r="157" spans="2:15" x14ac:dyDescent="0.4">
      <c r="C157" s="172" t="s">
        <v>21</v>
      </c>
      <c r="F157" s="189">
        <v>1</v>
      </c>
      <c r="G157" s="190">
        <v>204</v>
      </c>
      <c r="H157" s="191">
        <v>261</v>
      </c>
      <c r="I157" s="191">
        <v>494</v>
      </c>
      <c r="J157" s="191">
        <v>500</v>
      </c>
      <c r="K157" s="191">
        <v>631</v>
      </c>
      <c r="L157" s="191">
        <v>780</v>
      </c>
      <c r="M157" s="192">
        <v>218</v>
      </c>
      <c r="N157" s="190">
        <v>11</v>
      </c>
      <c r="O157" s="193">
        <f>SUM(G157:N157)</f>
        <v>3099</v>
      </c>
    </row>
    <row r="158" spans="2:15" x14ac:dyDescent="0.4">
      <c r="C158" s="172" t="s">
        <v>20</v>
      </c>
      <c r="F158" s="189">
        <v>2</v>
      </c>
      <c r="G158" s="190">
        <v>61</v>
      </c>
      <c r="H158" s="191">
        <v>71</v>
      </c>
      <c r="I158" s="191">
        <v>137</v>
      </c>
      <c r="J158" s="191">
        <v>161</v>
      </c>
      <c r="K158" s="191">
        <v>215</v>
      </c>
      <c r="L158" s="191">
        <v>235</v>
      </c>
      <c r="M158" s="192">
        <v>62</v>
      </c>
      <c r="N158" s="190">
        <v>3</v>
      </c>
      <c r="O158" s="193">
        <f>SUM(G158:N158)</f>
        <v>945</v>
      </c>
    </row>
    <row r="159" spans="2:15" x14ac:dyDescent="0.4">
      <c r="C159" s="172" t="s">
        <v>19</v>
      </c>
      <c r="F159" s="204">
        <v>3</v>
      </c>
      <c r="G159" s="205">
        <v>30</v>
      </c>
      <c r="H159" s="206">
        <v>40</v>
      </c>
      <c r="I159" s="206">
        <v>63</v>
      </c>
      <c r="J159" s="206">
        <v>63</v>
      </c>
      <c r="K159" s="206">
        <v>77</v>
      </c>
      <c r="L159" s="206">
        <v>85</v>
      </c>
      <c r="M159" s="207">
        <v>26</v>
      </c>
      <c r="N159" s="190">
        <v>0</v>
      </c>
      <c r="O159" s="193">
        <f>SUM(G159:N159)</f>
        <v>384</v>
      </c>
    </row>
    <row r="160" spans="2:15" x14ac:dyDescent="0.4">
      <c r="F160" s="208" t="s">
        <v>18</v>
      </c>
      <c r="G160" s="205">
        <v>6</v>
      </c>
      <c r="H160" s="206">
        <v>16</v>
      </c>
      <c r="I160" s="206">
        <v>25</v>
      </c>
      <c r="J160" s="206">
        <v>34</v>
      </c>
      <c r="K160" s="206">
        <v>64</v>
      </c>
      <c r="L160" s="206">
        <v>110</v>
      </c>
      <c r="M160" s="207">
        <v>38</v>
      </c>
      <c r="N160" s="190">
        <v>1</v>
      </c>
      <c r="O160" s="193">
        <f>SUM(G160:N160)</f>
        <v>294</v>
      </c>
    </row>
    <row r="161" spans="2:17" x14ac:dyDescent="0.4">
      <c r="F161" s="209" t="s">
        <v>23</v>
      </c>
      <c r="G161" s="210">
        <f>SUM(G157:G160)</f>
        <v>301</v>
      </c>
      <c r="H161" s="210">
        <f t="shared" ref="H161:N161" si="23">SUM(H157:H160)</f>
        <v>388</v>
      </c>
      <c r="I161" s="210">
        <f t="shared" si="23"/>
        <v>719</v>
      </c>
      <c r="J161" s="210">
        <f t="shared" si="23"/>
        <v>758</v>
      </c>
      <c r="K161" s="210">
        <f t="shared" si="23"/>
        <v>987</v>
      </c>
      <c r="L161" s="210">
        <f t="shared" si="23"/>
        <v>1210</v>
      </c>
      <c r="M161" s="210">
        <f t="shared" si="23"/>
        <v>344</v>
      </c>
      <c r="N161" s="210">
        <f t="shared" si="23"/>
        <v>15</v>
      </c>
      <c r="O161" s="210">
        <f>SUM(O157:O160)</f>
        <v>4722</v>
      </c>
    </row>
    <row r="162" spans="2:17" x14ac:dyDescent="0.4">
      <c r="C162" s="172" t="s">
        <v>22</v>
      </c>
    </row>
    <row r="163" spans="2:17" x14ac:dyDescent="0.4">
      <c r="C163" s="172" t="s">
        <v>21</v>
      </c>
      <c r="E163" s="212">
        <f>O157/$O$161</f>
        <v>0.65628970775095297</v>
      </c>
    </row>
    <row r="164" spans="2:17" x14ac:dyDescent="0.4">
      <c r="C164" s="172" t="s">
        <v>20</v>
      </c>
      <c r="E164" s="212">
        <f>O158/$O$161</f>
        <v>0.20012706480304956</v>
      </c>
    </row>
    <row r="165" spans="2:17" x14ac:dyDescent="0.4">
      <c r="C165" s="172" t="s">
        <v>19</v>
      </c>
      <c r="E165" s="212">
        <f>O159/$O$161</f>
        <v>8.1321473951715378E-2</v>
      </c>
    </row>
    <row r="166" spans="2:17" x14ac:dyDescent="0.4">
      <c r="C166" s="242" t="s">
        <v>18</v>
      </c>
      <c r="D166" s="213"/>
      <c r="E166" s="212">
        <f>O160/$O$161</f>
        <v>6.2261753494282084E-2</v>
      </c>
    </row>
    <row r="167" spans="2:17" s="181" customFormat="1" x14ac:dyDescent="0.4">
      <c r="Q167" s="195"/>
    </row>
    <row r="168" spans="2:17" s="181" customFormat="1" x14ac:dyDescent="0.4">
      <c r="B168" s="181" t="s">
        <v>206</v>
      </c>
      <c r="Q168" s="195"/>
    </row>
    <row r="169" spans="2:17" s="181" customFormat="1" x14ac:dyDescent="0.4">
      <c r="B169" s="181" t="s">
        <v>212</v>
      </c>
      <c r="Q169" s="195"/>
    </row>
    <row r="170" spans="2:17" s="181" customFormat="1" x14ac:dyDescent="0.4">
      <c r="B170" s="181" t="s">
        <v>213</v>
      </c>
      <c r="Q170" s="195"/>
    </row>
    <row r="171" spans="2:17" s="181" customFormat="1" x14ac:dyDescent="0.4">
      <c r="Q171" s="195"/>
    </row>
    <row r="172" spans="2:17" x14ac:dyDescent="0.4">
      <c r="B172" s="174" t="s">
        <v>207</v>
      </c>
      <c r="C172" s="174"/>
      <c r="O172" s="174" t="s">
        <v>191</v>
      </c>
    </row>
    <row r="173" spans="2:17" x14ac:dyDescent="0.4">
      <c r="B173" s="174"/>
      <c r="C173" s="174"/>
    </row>
    <row r="174" spans="2:17" x14ac:dyDescent="0.4">
      <c r="B174" s="174"/>
      <c r="C174" s="174"/>
      <c r="F174" s="234"/>
      <c r="G174" s="234" t="s">
        <v>192</v>
      </c>
      <c r="H174" s="234" t="s">
        <v>193</v>
      </c>
      <c r="I174" s="234" t="s">
        <v>194</v>
      </c>
      <c r="J174" s="234" t="s">
        <v>195</v>
      </c>
      <c r="K174" s="234" t="s">
        <v>196</v>
      </c>
      <c r="L174" s="234" t="s">
        <v>197</v>
      </c>
      <c r="M174" s="234" t="s">
        <v>198</v>
      </c>
      <c r="N174" s="234" t="s">
        <v>199</v>
      </c>
      <c r="O174" s="234" t="s">
        <v>200</v>
      </c>
      <c r="P174" s="236"/>
    </row>
    <row r="175" spans="2:17" x14ac:dyDescent="0.4">
      <c r="B175" s="174"/>
      <c r="C175" s="174" t="s">
        <v>75</v>
      </c>
      <c r="F175" s="186">
        <v>1</v>
      </c>
      <c r="G175" s="235">
        <v>125</v>
      </c>
      <c r="H175" s="235">
        <v>128</v>
      </c>
      <c r="I175" s="235">
        <v>222</v>
      </c>
      <c r="J175" s="235">
        <v>213</v>
      </c>
      <c r="K175" s="235">
        <v>284</v>
      </c>
      <c r="L175" s="235">
        <v>360</v>
      </c>
      <c r="M175" s="235">
        <v>101</v>
      </c>
      <c r="N175" s="235">
        <v>6</v>
      </c>
      <c r="O175" s="234">
        <f>SUM(G175:N175)</f>
        <v>1439</v>
      </c>
    </row>
    <row r="176" spans="2:17" x14ac:dyDescent="0.4">
      <c r="B176" s="174"/>
      <c r="C176" s="174" t="s">
        <v>74</v>
      </c>
      <c r="F176" s="186">
        <v>2</v>
      </c>
      <c r="G176" s="235">
        <v>116</v>
      </c>
      <c r="H176" s="235">
        <v>163</v>
      </c>
      <c r="I176" s="235">
        <v>285</v>
      </c>
      <c r="J176" s="235">
        <v>305</v>
      </c>
      <c r="K176" s="235">
        <v>280</v>
      </c>
      <c r="L176" s="235">
        <v>243</v>
      </c>
      <c r="M176" s="235">
        <v>50</v>
      </c>
      <c r="N176" s="235">
        <v>1</v>
      </c>
      <c r="O176" s="234">
        <f>SUM(G176:N176)</f>
        <v>1443</v>
      </c>
    </row>
    <row r="177" spans="2:20" x14ac:dyDescent="0.4">
      <c r="B177" s="174"/>
      <c r="C177" s="174"/>
      <c r="F177" s="232" t="s">
        <v>201</v>
      </c>
      <c r="G177" s="235">
        <v>14</v>
      </c>
      <c r="H177" s="235">
        <v>11</v>
      </c>
      <c r="I177" s="235">
        <v>19</v>
      </c>
      <c r="J177" s="235">
        <v>36</v>
      </c>
      <c r="K177" s="235">
        <v>85</v>
      </c>
      <c r="L177" s="235">
        <v>130</v>
      </c>
      <c r="M177" s="235">
        <v>34</v>
      </c>
      <c r="N177" s="235">
        <v>2</v>
      </c>
      <c r="O177" s="234">
        <f>SUM(G177:N177)</f>
        <v>331</v>
      </c>
    </row>
    <row r="178" spans="2:20" x14ac:dyDescent="0.4">
      <c r="B178" s="174"/>
      <c r="C178" s="174"/>
      <c r="F178" s="186" t="s">
        <v>200</v>
      </c>
      <c r="G178" s="234">
        <f t="shared" ref="G178:O178" si="24">SUM(G175:G177)</f>
        <v>255</v>
      </c>
      <c r="H178" s="234">
        <f t="shared" si="24"/>
        <v>302</v>
      </c>
      <c r="I178" s="234">
        <f t="shared" si="24"/>
        <v>526</v>
      </c>
      <c r="J178" s="234">
        <f t="shared" si="24"/>
        <v>554</v>
      </c>
      <c r="K178" s="234">
        <f t="shared" si="24"/>
        <v>649</v>
      </c>
      <c r="L178" s="234">
        <f t="shared" si="24"/>
        <v>733</v>
      </c>
      <c r="M178" s="234">
        <f t="shared" si="24"/>
        <v>185</v>
      </c>
      <c r="N178" s="234">
        <f t="shared" si="24"/>
        <v>9</v>
      </c>
      <c r="O178" s="234">
        <f t="shared" si="24"/>
        <v>3213</v>
      </c>
      <c r="P178" s="236"/>
      <c r="Q178" s="195"/>
    </row>
    <row r="179" spans="2:20" x14ac:dyDescent="0.4">
      <c r="B179" s="174"/>
      <c r="C179" s="174"/>
    </row>
    <row r="180" spans="2:20" s="181" customFormat="1" x14ac:dyDescent="0.4">
      <c r="C180" s="174" t="s">
        <v>22</v>
      </c>
      <c r="Q180" s="195"/>
    </row>
    <row r="181" spans="2:20" s="181" customFormat="1" x14ac:dyDescent="0.4">
      <c r="C181" s="181" t="s">
        <v>75</v>
      </c>
      <c r="E181" s="212">
        <f>O175/O178</f>
        <v>0.4478680361033302</v>
      </c>
      <c r="G181" s="212"/>
      <c r="H181" s="212"/>
      <c r="I181" s="212"/>
      <c r="J181" s="212"/>
      <c r="K181" s="212"/>
      <c r="L181" s="212"/>
      <c r="M181" s="212"/>
      <c r="N181" s="212"/>
      <c r="Q181" s="195"/>
    </row>
    <row r="182" spans="2:20" s="181" customFormat="1" x14ac:dyDescent="0.4">
      <c r="C182" s="181" t="s">
        <v>74</v>
      </c>
      <c r="E182" s="212">
        <f>O176/O178</f>
        <v>0.44911297852474324</v>
      </c>
      <c r="Q182" s="195"/>
    </row>
    <row r="183" spans="2:20" s="181" customFormat="1" x14ac:dyDescent="0.4">
      <c r="C183" s="213" t="s">
        <v>18</v>
      </c>
      <c r="D183" s="213"/>
      <c r="E183" s="212">
        <f>O177/O178</f>
        <v>0.10301898537192655</v>
      </c>
      <c r="Q183" s="195"/>
    </row>
    <row r="184" spans="2:20" s="181" customFormat="1" x14ac:dyDescent="0.4">
      <c r="Q184" s="195"/>
    </row>
    <row r="185" spans="2:20" x14ac:dyDescent="0.4">
      <c r="B185" s="181" t="s">
        <v>208</v>
      </c>
      <c r="C185" s="181"/>
      <c r="D185" s="181"/>
      <c r="E185" s="181"/>
      <c r="F185" s="181"/>
      <c r="G185" s="181"/>
      <c r="H185" s="181"/>
      <c r="I185" s="181"/>
      <c r="J185" s="181"/>
      <c r="K185" s="181"/>
      <c r="L185" s="181"/>
      <c r="M185" s="181"/>
      <c r="N185" s="181"/>
      <c r="O185" s="181" t="s">
        <v>191</v>
      </c>
    </row>
    <row r="186" spans="2:20" x14ac:dyDescent="0.4">
      <c r="B186" s="181"/>
      <c r="C186" s="181"/>
      <c r="D186" s="181"/>
      <c r="E186" s="181"/>
      <c r="F186" s="181"/>
      <c r="G186" s="181"/>
      <c r="H186" s="181"/>
      <c r="I186" s="181"/>
      <c r="J186" s="181"/>
      <c r="K186" s="181"/>
      <c r="L186" s="181"/>
      <c r="M186" s="181"/>
      <c r="N186" s="181"/>
      <c r="O186" s="181"/>
      <c r="P186" s="181"/>
    </row>
    <row r="187" spans="2:20" x14ac:dyDescent="0.4">
      <c r="B187" s="181"/>
      <c r="C187" s="174"/>
      <c r="F187" s="234"/>
      <c r="G187" s="234" t="s">
        <v>192</v>
      </c>
      <c r="H187" s="234" t="s">
        <v>193</v>
      </c>
      <c r="I187" s="234" t="s">
        <v>194</v>
      </c>
      <c r="J187" s="234" t="s">
        <v>195</v>
      </c>
      <c r="K187" s="234" t="s">
        <v>196</v>
      </c>
      <c r="L187" s="234" t="s">
        <v>197</v>
      </c>
      <c r="M187" s="234" t="s">
        <v>198</v>
      </c>
      <c r="N187" s="234" t="s">
        <v>199</v>
      </c>
      <c r="O187" s="234" t="s">
        <v>200</v>
      </c>
      <c r="P187" s="236"/>
    </row>
    <row r="188" spans="2:20" x14ac:dyDescent="0.4">
      <c r="B188" s="181"/>
      <c r="C188" s="174" t="s">
        <v>75</v>
      </c>
      <c r="F188" s="186">
        <v>1</v>
      </c>
      <c r="G188" s="235">
        <v>7</v>
      </c>
      <c r="H188" s="235">
        <v>12</v>
      </c>
      <c r="I188" s="235">
        <v>36</v>
      </c>
      <c r="J188" s="235">
        <v>88</v>
      </c>
      <c r="K188" s="235">
        <v>140</v>
      </c>
      <c r="L188" s="235">
        <v>192</v>
      </c>
      <c r="M188" s="235">
        <v>50</v>
      </c>
      <c r="N188" s="235">
        <v>3</v>
      </c>
      <c r="O188" s="234">
        <f>SUM(G188:N188)</f>
        <v>528</v>
      </c>
      <c r="P188" s="181"/>
    </row>
    <row r="189" spans="2:20" x14ac:dyDescent="0.4">
      <c r="B189" s="181"/>
      <c r="C189" s="174" t="s">
        <v>74</v>
      </c>
      <c r="F189" s="186">
        <v>2</v>
      </c>
      <c r="G189" s="235">
        <v>231</v>
      </c>
      <c r="H189" s="235">
        <v>276</v>
      </c>
      <c r="I189" s="235">
        <v>462</v>
      </c>
      <c r="J189" s="235">
        <v>429</v>
      </c>
      <c r="K189" s="235">
        <v>417</v>
      </c>
      <c r="L189" s="235">
        <v>400</v>
      </c>
      <c r="M189" s="235">
        <v>97</v>
      </c>
      <c r="N189" s="235">
        <v>5</v>
      </c>
      <c r="O189" s="234">
        <f>SUM(G189:N189)</f>
        <v>2317</v>
      </c>
      <c r="P189" s="181"/>
    </row>
    <row r="190" spans="2:20" x14ac:dyDescent="0.4">
      <c r="B190" s="181"/>
      <c r="C190" s="174"/>
      <c r="F190" s="232" t="s">
        <v>201</v>
      </c>
      <c r="G190" s="235">
        <v>17</v>
      </c>
      <c r="H190" s="235">
        <v>14</v>
      </c>
      <c r="I190" s="235">
        <v>28</v>
      </c>
      <c r="J190" s="235">
        <v>37</v>
      </c>
      <c r="K190" s="235">
        <v>92</v>
      </c>
      <c r="L190" s="235">
        <v>141</v>
      </c>
      <c r="M190" s="235">
        <v>38</v>
      </c>
      <c r="N190" s="235">
        <v>1</v>
      </c>
      <c r="O190" s="234">
        <f>SUM(G190:N190)</f>
        <v>368</v>
      </c>
      <c r="P190" s="181"/>
    </row>
    <row r="191" spans="2:20" x14ac:dyDescent="0.4">
      <c r="B191" s="181"/>
      <c r="C191" s="174"/>
      <c r="F191" s="186" t="s">
        <v>200</v>
      </c>
      <c r="G191" s="234">
        <f t="shared" ref="G191:O191" si="25">SUM(G188:G190)</f>
        <v>255</v>
      </c>
      <c r="H191" s="234">
        <f t="shared" si="25"/>
        <v>302</v>
      </c>
      <c r="I191" s="234">
        <f t="shared" si="25"/>
        <v>526</v>
      </c>
      <c r="J191" s="234">
        <f t="shared" si="25"/>
        <v>554</v>
      </c>
      <c r="K191" s="234">
        <f t="shared" si="25"/>
        <v>649</v>
      </c>
      <c r="L191" s="234">
        <f t="shared" si="25"/>
        <v>733</v>
      </c>
      <c r="M191" s="234">
        <f t="shared" si="25"/>
        <v>185</v>
      </c>
      <c r="N191" s="234">
        <f t="shared" si="25"/>
        <v>9</v>
      </c>
      <c r="O191" s="234">
        <f t="shared" si="25"/>
        <v>3213</v>
      </c>
      <c r="P191" s="236"/>
      <c r="Q191" s="195"/>
    </row>
    <row r="192" spans="2:20" x14ac:dyDescent="0.4">
      <c r="B192" s="181"/>
      <c r="C192" s="174"/>
      <c r="P192" s="181"/>
      <c r="Q192" s="195"/>
      <c r="T192" s="181"/>
    </row>
    <row r="193" spans="2:17" x14ac:dyDescent="0.4">
      <c r="B193" s="181"/>
      <c r="C193" s="174" t="s">
        <v>22</v>
      </c>
      <c r="D193" s="181"/>
      <c r="E193" s="181"/>
      <c r="F193" s="181"/>
      <c r="G193" s="181"/>
      <c r="H193" s="181"/>
      <c r="I193" s="181"/>
      <c r="J193" s="181"/>
      <c r="K193" s="181"/>
      <c r="L193" s="181"/>
      <c r="M193" s="181"/>
      <c r="N193" s="181"/>
      <c r="O193" s="181"/>
      <c r="P193" s="181"/>
      <c r="Q193" s="195"/>
    </row>
    <row r="194" spans="2:17" x14ac:dyDescent="0.4">
      <c r="B194" s="181"/>
      <c r="C194" s="181" t="s">
        <v>75</v>
      </c>
      <c r="D194" s="181"/>
      <c r="E194" s="212">
        <f>O188/O191</f>
        <v>0.16433239962651727</v>
      </c>
      <c r="F194" s="181"/>
      <c r="G194" s="212"/>
      <c r="H194" s="212"/>
      <c r="I194" s="212"/>
      <c r="J194" s="212"/>
      <c r="K194" s="212"/>
      <c r="L194" s="212"/>
      <c r="M194" s="212"/>
      <c r="N194" s="212"/>
      <c r="O194" s="181"/>
      <c r="P194" s="181"/>
      <c r="Q194" s="195"/>
    </row>
    <row r="195" spans="2:17" x14ac:dyDescent="0.4">
      <c r="B195" s="181"/>
      <c r="C195" s="181" t="s">
        <v>74</v>
      </c>
      <c r="D195" s="181"/>
      <c r="E195" s="212">
        <f>O189/O191</f>
        <v>0.72113289760348587</v>
      </c>
      <c r="F195" s="181"/>
      <c r="G195" s="181"/>
      <c r="H195" s="181"/>
      <c r="I195" s="181"/>
      <c r="J195" s="181"/>
      <c r="K195" s="181"/>
      <c r="L195" s="181"/>
      <c r="M195" s="181"/>
      <c r="N195" s="181"/>
      <c r="O195" s="181"/>
      <c r="P195" s="181"/>
      <c r="Q195" s="195"/>
    </row>
    <row r="196" spans="2:17" x14ac:dyDescent="0.4">
      <c r="B196" s="181"/>
      <c r="C196" s="213" t="s">
        <v>18</v>
      </c>
      <c r="D196" s="213"/>
      <c r="E196" s="212">
        <f>O190/O191</f>
        <v>0.11453470276999689</v>
      </c>
      <c r="F196" s="181"/>
      <c r="G196" s="181"/>
      <c r="H196" s="181"/>
      <c r="I196" s="181"/>
      <c r="J196" s="181"/>
      <c r="K196" s="181"/>
      <c r="L196" s="181"/>
      <c r="M196" s="181"/>
      <c r="N196" s="181"/>
      <c r="O196" s="181"/>
      <c r="P196" s="181"/>
      <c r="Q196" s="195"/>
    </row>
    <row r="197" spans="2:17" x14ac:dyDescent="0.4">
      <c r="B197" s="174"/>
      <c r="C197" s="174"/>
      <c r="Q197" s="195"/>
    </row>
    <row r="198" spans="2:17" x14ac:dyDescent="0.4">
      <c r="B198" s="181" t="s">
        <v>209</v>
      </c>
      <c r="C198" s="181"/>
      <c r="D198" s="181"/>
      <c r="E198" s="181"/>
      <c r="F198" s="181"/>
      <c r="G198" s="181"/>
      <c r="H198" s="181"/>
      <c r="I198" s="181"/>
      <c r="J198" s="181"/>
      <c r="K198" s="181"/>
      <c r="L198" s="181"/>
      <c r="M198" s="181"/>
      <c r="N198" s="181"/>
      <c r="O198" s="181" t="s">
        <v>191</v>
      </c>
      <c r="Q198" s="195"/>
    </row>
    <row r="199" spans="2:17" x14ac:dyDescent="0.4">
      <c r="B199" s="181"/>
      <c r="C199" s="181"/>
      <c r="D199" s="181"/>
      <c r="E199" s="181"/>
      <c r="F199" s="181"/>
      <c r="G199" s="181"/>
      <c r="H199" s="181"/>
      <c r="I199" s="181"/>
      <c r="J199" s="181"/>
      <c r="K199" s="181"/>
      <c r="L199" s="181"/>
      <c r="M199" s="181"/>
      <c r="N199" s="181"/>
      <c r="O199" s="181"/>
      <c r="P199" s="181"/>
      <c r="Q199" s="195"/>
    </row>
    <row r="200" spans="2:17" x14ac:dyDescent="0.4">
      <c r="B200" s="181"/>
      <c r="C200" s="174"/>
      <c r="F200" s="234"/>
      <c r="G200" s="234" t="s">
        <v>192</v>
      </c>
      <c r="H200" s="234" t="s">
        <v>193</v>
      </c>
      <c r="I200" s="234" t="s">
        <v>194</v>
      </c>
      <c r="J200" s="234" t="s">
        <v>195</v>
      </c>
      <c r="K200" s="234" t="s">
        <v>196</v>
      </c>
      <c r="L200" s="234" t="s">
        <v>197</v>
      </c>
      <c r="M200" s="234" t="s">
        <v>198</v>
      </c>
      <c r="N200" s="234" t="s">
        <v>199</v>
      </c>
      <c r="O200" s="234" t="s">
        <v>200</v>
      </c>
      <c r="P200" s="236"/>
      <c r="Q200" s="195"/>
    </row>
    <row r="201" spans="2:17" x14ac:dyDescent="0.4">
      <c r="B201" s="181"/>
      <c r="C201" s="174" t="s">
        <v>75</v>
      </c>
      <c r="F201" s="186">
        <v>1</v>
      </c>
      <c r="G201" s="235">
        <v>30</v>
      </c>
      <c r="H201" s="235">
        <v>42</v>
      </c>
      <c r="I201" s="235">
        <v>91</v>
      </c>
      <c r="J201" s="235">
        <v>100</v>
      </c>
      <c r="K201" s="235">
        <v>140</v>
      </c>
      <c r="L201" s="235">
        <v>136</v>
      </c>
      <c r="M201" s="235">
        <v>48</v>
      </c>
      <c r="N201" s="235">
        <v>1</v>
      </c>
      <c r="O201" s="234">
        <f>SUM(G201:N201)</f>
        <v>588</v>
      </c>
      <c r="P201" s="181"/>
      <c r="Q201" s="195"/>
    </row>
    <row r="202" spans="2:17" x14ac:dyDescent="0.4">
      <c r="B202" s="181"/>
      <c r="C202" s="174" t="s">
        <v>74</v>
      </c>
      <c r="F202" s="186">
        <v>2</v>
      </c>
      <c r="G202" s="235">
        <v>208</v>
      </c>
      <c r="H202" s="235">
        <v>247</v>
      </c>
      <c r="I202" s="235">
        <v>407</v>
      </c>
      <c r="J202" s="235">
        <v>417</v>
      </c>
      <c r="K202" s="235">
        <v>412</v>
      </c>
      <c r="L202" s="235">
        <v>448</v>
      </c>
      <c r="M202" s="235">
        <v>97</v>
      </c>
      <c r="N202" s="235">
        <v>6</v>
      </c>
      <c r="O202" s="234">
        <f>SUM(G202:N202)</f>
        <v>2242</v>
      </c>
      <c r="P202" s="181"/>
      <c r="Q202" s="195"/>
    </row>
    <row r="203" spans="2:17" x14ac:dyDescent="0.4">
      <c r="B203" s="181"/>
      <c r="C203" s="174"/>
      <c r="F203" s="232" t="s">
        <v>201</v>
      </c>
      <c r="G203" s="235">
        <v>17</v>
      </c>
      <c r="H203" s="235">
        <v>13</v>
      </c>
      <c r="I203" s="235">
        <v>28</v>
      </c>
      <c r="J203" s="235">
        <v>37</v>
      </c>
      <c r="K203" s="235">
        <v>97</v>
      </c>
      <c r="L203" s="235">
        <v>149</v>
      </c>
      <c r="M203" s="235">
        <v>40</v>
      </c>
      <c r="N203" s="235">
        <v>2</v>
      </c>
      <c r="O203" s="234">
        <f>SUM(G203:N203)</f>
        <v>383</v>
      </c>
      <c r="P203" s="181"/>
      <c r="Q203" s="195"/>
    </row>
    <row r="204" spans="2:17" x14ac:dyDescent="0.4">
      <c r="B204" s="181"/>
      <c r="C204" s="174"/>
      <c r="F204" s="186" t="s">
        <v>200</v>
      </c>
      <c r="G204" s="234">
        <f t="shared" ref="G204:O204" si="26">SUM(G201:G203)</f>
        <v>255</v>
      </c>
      <c r="H204" s="234">
        <f t="shared" si="26"/>
        <v>302</v>
      </c>
      <c r="I204" s="234">
        <f t="shared" si="26"/>
        <v>526</v>
      </c>
      <c r="J204" s="234">
        <f t="shared" si="26"/>
        <v>554</v>
      </c>
      <c r="K204" s="234">
        <f t="shared" si="26"/>
        <v>649</v>
      </c>
      <c r="L204" s="234">
        <f t="shared" si="26"/>
        <v>733</v>
      </c>
      <c r="M204" s="234">
        <f t="shared" si="26"/>
        <v>185</v>
      </c>
      <c r="N204" s="234">
        <f t="shared" si="26"/>
        <v>9</v>
      </c>
      <c r="O204" s="234">
        <f t="shared" si="26"/>
        <v>3213</v>
      </c>
      <c r="P204" s="236"/>
      <c r="Q204" s="195"/>
    </row>
    <row r="205" spans="2:17" x14ac:dyDescent="0.4">
      <c r="B205" s="181"/>
      <c r="C205" s="174"/>
      <c r="P205" s="181"/>
      <c r="Q205" s="195"/>
    </row>
    <row r="206" spans="2:17" x14ac:dyDescent="0.4">
      <c r="B206" s="181"/>
      <c r="C206" s="174" t="s">
        <v>22</v>
      </c>
      <c r="D206" s="181"/>
      <c r="E206" s="181"/>
      <c r="F206" s="181"/>
      <c r="G206" s="181"/>
      <c r="H206" s="181"/>
      <c r="I206" s="181"/>
      <c r="J206" s="181"/>
      <c r="K206" s="181"/>
      <c r="L206" s="181"/>
      <c r="M206" s="181"/>
      <c r="N206" s="181"/>
      <c r="O206" s="181"/>
      <c r="P206" s="181"/>
      <c r="Q206" s="195"/>
    </row>
    <row r="207" spans="2:17" x14ac:dyDescent="0.4">
      <c r="B207" s="181"/>
      <c r="C207" s="181" t="s">
        <v>75</v>
      </c>
      <c r="D207" s="181"/>
      <c r="E207" s="212">
        <f>O201/O204</f>
        <v>0.18300653594771241</v>
      </c>
      <c r="F207" s="181"/>
      <c r="G207" s="212"/>
      <c r="H207" s="212"/>
      <c r="I207" s="212"/>
      <c r="J207" s="212"/>
      <c r="K207" s="212"/>
      <c r="L207" s="212"/>
      <c r="M207" s="212"/>
      <c r="N207" s="212"/>
      <c r="O207" s="181"/>
      <c r="P207" s="181"/>
      <c r="Q207" s="195"/>
    </row>
    <row r="208" spans="2:17" x14ac:dyDescent="0.4">
      <c r="B208" s="181"/>
      <c r="C208" s="181" t="s">
        <v>74</v>
      </c>
      <c r="D208" s="181"/>
      <c r="E208" s="212">
        <f>O202/O204</f>
        <v>0.69779022720199191</v>
      </c>
      <c r="F208" s="181"/>
      <c r="G208" s="181"/>
      <c r="H208" s="181"/>
      <c r="I208" s="181"/>
      <c r="J208" s="181"/>
      <c r="K208" s="181"/>
      <c r="L208" s="181"/>
      <c r="M208" s="181"/>
      <c r="N208" s="181"/>
      <c r="O208" s="181"/>
      <c r="P208" s="181"/>
      <c r="Q208" s="195"/>
    </row>
    <row r="209" spans="2:17" x14ac:dyDescent="0.4">
      <c r="B209" s="181"/>
      <c r="C209" s="213" t="s">
        <v>18</v>
      </c>
      <c r="D209" s="213"/>
      <c r="E209" s="212">
        <f>O203/O204</f>
        <v>0.11920323685029567</v>
      </c>
      <c r="F209" s="181"/>
      <c r="G209" s="181"/>
      <c r="H209" s="181"/>
      <c r="I209" s="181"/>
      <c r="J209" s="181"/>
      <c r="K209" s="181"/>
      <c r="L209" s="181"/>
      <c r="M209" s="181"/>
      <c r="N209" s="181"/>
      <c r="O209" s="181"/>
      <c r="P209" s="181"/>
      <c r="Q209" s="195"/>
    </row>
    <row r="210" spans="2:17" s="181" customFormat="1" x14ac:dyDescent="0.4">
      <c r="E210" s="212"/>
      <c r="Q210" s="195"/>
    </row>
    <row r="211" spans="2:17" x14ac:dyDescent="0.4">
      <c r="B211" s="181" t="s">
        <v>210</v>
      </c>
      <c r="C211" s="181"/>
      <c r="D211" s="181"/>
      <c r="E211" s="181"/>
      <c r="F211" s="181"/>
      <c r="G211" s="181"/>
      <c r="H211" s="181"/>
      <c r="I211" s="181"/>
      <c r="J211" s="181"/>
      <c r="K211" s="181"/>
      <c r="L211" s="181"/>
      <c r="M211" s="181"/>
      <c r="N211" s="181"/>
      <c r="O211" s="181" t="s">
        <v>191</v>
      </c>
      <c r="Q211" s="195"/>
    </row>
    <row r="212" spans="2:17" x14ac:dyDescent="0.4">
      <c r="B212" s="181"/>
      <c r="C212" s="181"/>
      <c r="D212" s="181"/>
      <c r="E212" s="181"/>
      <c r="F212" s="181"/>
      <c r="G212" s="181"/>
      <c r="H212" s="181"/>
      <c r="I212" s="181"/>
      <c r="J212" s="181"/>
      <c r="K212" s="181"/>
      <c r="L212" s="181"/>
      <c r="M212" s="181"/>
      <c r="N212" s="181"/>
      <c r="O212" s="181"/>
      <c r="P212" s="181"/>
      <c r="Q212" s="195"/>
    </row>
    <row r="213" spans="2:17" x14ac:dyDescent="0.4">
      <c r="B213" s="181"/>
      <c r="C213" s="174"/>
      <c r="F213" s="234"/>
      <c r="G213" s="234" t="s">
        <v>192</v>
      </c>
      <c r="H213" s="234" t="s">
        <v>193</v>
      </c>
      <c r="I213" s="234" t="s">
        <v>194</v>
      </c>
      <c r="J213" s="234" t="s">
        <v>195</v>
      </c>
      <c r="K213" s="234" t="s">
        <v>196</v>
      </c>
      <c r="L213" s="234" t="s">
        <v>197</v>
      </c>
      <c r="M213" s="234" t="s">
        <v>198</v>
      </c>
      <c r="N213" s="234" t="s">
        <v>199</v>
      </c>
      <c r="O213" s="234" t="s">
        <v>200</v>
      </c>
      <c r="P213" s="236"/>
      <c r="Q213" s="195"/>
    </row>
    <row r="214" spans="2:17" x14ac:dyDescent="0.4">
      <c r="B214" s="181"/>
      <c r="C214" s="174" t="s">
        <v>75</v>
      </c>
      <c r="F214" s="186">
        <v>1</v>
      </c>
      <c r="G214" s="235">
        <v>53</v>
      </c>
      <c r="H214" s="235">
        <v>49</v>
      </c>
      <c r="I214" s="235">
        <v>102</v>
      </c>
      <c r="J214" s="235">
        <v>109</v>
      </c>
      <c r="K214" s="235">
        <v>106</v>
      </c>
      <c r="L214" s="235">
        <v>118</v>
      </c>
      <c r="M214" s="235">
        <v>39</v>
      </c>
      <c r="N214" s="235">
        <v>1</v>
      </c>
      <c r="O214" s="234">
        <f>SUM(G214:N214)</f>
        <v>577</v>
      </c>
      <c r="P214" s="181"/>
      <c r="Q214" s="195"/>
    </row>
    <row r="215" spans="2:17" x14ac:dyDescent="0.4">
      <c r="B215" s="181"/>
      <c r="C215" s="174" t="s">
        <v>74</v>
      </c>
      <c r="F215" s="186">
        <v>2</v>
      </c>
      <c r="G215" s="235">
        <v>185</v>
      </c>
      <c r="H215" s="235">
        <v>239</v>
      </c>
      <c r="I215" s="235">
        <v>399</v>
      </c>
      <c r="J215" s="235">
        <v>407</v>
      </c>
      <c r="K215" s="235">
        <v>450</v>
      </c>
      <c r="L215" s="235">
        <v>463</v>
      </c>
      <c r="M215" s="235">
        <v>105</v>
      </c>
      <c r="N215" s="235">
        <v>6</v>
      </c>
      <c r="O215" s="234">
        <f>SUM(G215:N215)</f>
        <v>2254</v>
      </c>
      <c r="P215" s="181"/>
      <c r="Q215" s="195"/>
    </row>
    <row r="216" spans="2:17" x14ac:dyDescent="0.4">
      <c r="B216" s="181"/>
      <c r="C216" s="174"/>
      <c r="F216" s="232" t="s">
        <v>201</v>
      </c>
      <c r="G216" s="235">
        <v>17</v>
      </c>
      <c r="H216" s="235">
        <v>14</v>
      </c>
      <c r="I216" s="235">
        <v>25</v>
      </c>
      <c r="J216" s="235">
        <v>38</v>
      </c>
      <c r="K216" s="235">
        <v>93</v>
      </c>
      <c r="L216" s="235">
        <v>152</v>
      </c>
      <c r="M216" s="235">
        <v>41</v>
      </c>
      <c r="N216" s="235">
        <v>2</v>
      </c>
      <c r="O216" s="234">
        <f>SUM(G216:N216)</f>
        <v>382</v>
      </c>
      <c r="P216" s="181"/>
      <c r="Q216" s="195"/>
    </row>
    <row r="217" spans="2:17" x14ac:dyDescent="0.4">
      <c r="B217" s="181"/>
      <c r="C217" s="174"/>
      <c r="F217" s="186" t="s">
        <v>200</v>
      </c>
      <c r="G217" s="234">
        <f t="shared" ref="G217:O217" si="27">SUM(G214:G216)</f>
        <v>255</v>
      </c>
      <c r="H217" s="234">
        <f t="shared" si="27"/>
        <v>302</v>
      </c>
      <c r="I217" s="234">
        <f t="shared" si="27"/>
        <v>526</v>
      </c>
      <c r="J217" s="234">
        <f t="shared" si="27"/>
        <v>554</v>
      </c>
      <c r="K217" s="234">
        <f t="shared" si="27"/>
        <v>649</v>
      </c>
      <c r="L217" s="234">
        <f t="shared" si="27"/>
        <v>733</v>
      </c>
      <c r="M217" s="234">
        <f t="shared" si="27"/>
        <v>185</v>
      </c>
      <c r="N217" s="234">
        <f t="shared" si="27"/>
        <v>9</v>
      </c>
      <c r="O217" s="234">
        <f t="shared" si="27"/>
        <v>3213</v>
      </c>
      <c r="P217" s="236"/>
      <c r="Q217" s="195"/>
    </row>
    <row r="218" spans="2:17" x14ac:dyDescent="0.4">
      <c r="B218" s="181"/>
      <c r="C218" s="174"/>
      <c r="P218" s="181"/>
      <c r="Q218" s="195"/>
    </row>
    <row r="219" spans="2:17" x14ac:dyDescent="0.4">
      <c r="B219" s="181"/>
      <c r="C219" s="174" t="s">
        <v>22</v>
      </c>
      <c r="D219" s="181"/>
      <c r="E219" s="181"/>
      <c r="F219" s="181"/>
      <c r="G219" s="181"/>
      <c r="H219" s="181"/>
      <c r="I219" s="181"/>
      <c r="J219" s="181"/>
      <c r="K219" s="181"/>
      <c r="L219" s="181"/>
      <c r="M219" s="181"/>
      <c r="N219" s="181"/>
      <c r="O219" s="181"/>
      <c r="P219" s="181"/>
      <c r="Q219" s="195"/>
    </row>
    <row r="220" spans="2:17" x14ac:dyDescent="0.4">
      <c r="B220" s="181"/>
      <c r="C220" s="181" t="s">
        <v>75</v>
      </c>
      <c r="D220" s="181"/>
      <c r="E220" s="212">
        <f>O214/O217</f>
        <v>0.17958294428882665</v>
      </c>
      <c r="F220" s="181"/>
      <c r="G220" s="212"/>
      <c r="H220" s="212"/>
      <c r="I220" s="212"/>
      <c r="J220" s="212"/>
      <c r="K220" s="212"/>
      <c r="L220" s="212"/>
      <c r="M220" s="212"/>
      <c r="N220" s="212"/>
      <c r="O220" s="181"/>
      <c r="P220" s="181"/>
      <c r="Q220" s="195"/>
    </row>
    <row r="221" spans="2:17" x14ac:dyDescent="0.4">
      <c r="B221" s="181"/>
      <c r="C221" s="181" t="s">
        <v>74</v>
      </c>
      <c r="D221" s="181"/>
      <c r="E221" s="212">
        <f>O215/O217</f>
        <v>0.70152505446623092</v>
      </c>
      <c r="F221" s="181"/>
      <c r="G221" s="181"/>
      <c r="H221" s="181"/>
      <c r="I221" s="181"/>
      <c r="J221" s="181"/>
      <c r="K221" s="181"/>
      <c r="L221" s="181"/>
      <c r="M221" s="181"/>
      <c r="N221" s="181"/>
      <c r="O221" s="181"/>
      <c r="P221" s="181"/>
      <c r="Q221" s="195"/>
    </row>
    <row r="222" spans="2:17" x14ac:dyDescent="0.4">
      <c r="B222" s="181"/>
      <c r="C222" s="213" t="s">
        <v>18</v>
      </c>
      <c r="D222" s="213"/>
      <c r="E222" s="212">
        <f>O216/O217</f>
        <v>0.11889200124494242</v>
      </c>
      <c r="F222" s="181"/>
      <c r="G222" s="181"/>
      <c r="H222" s="181"/>
      <c r="I222" s="181"/>
      <c r="J222" s="181"/>
      <c r="K222" s="181"/>
      <c r="L222" s="181"/>
      <c r="M222" s="181"/>
      <c r="N222" s="181"/>
      <c r="O222" s="181"/>
      <c r="P222" s="181"/>
      <c r="Q222" s="195"/>
    </row>
    <row r="223" spans="2:17" s="181" customFormat="1" x14ac:dyDescent="0.4">
      <c r="Q223" s="195"/>
    </row>
    <row r="224" spans="2:17" x14ac:dyDescent="0.4">
      <c r="B224" s="181" t="s">
        <v>211</v>
      </c>
      <c r="C224" s="181"/>
      <c r="D224" s="181"/>
      <c r="E224" s="181"/>
      <c r="F224" s="181"/>
      <c r="G224" s="181"/>
      <c r="H224" s="181"/>
      <c r="I224" s="181"/>
      <c r="J224" s="181"/>
      <c r="K224" s="181"/>
      <c r="L224" s="181"/>
      <c r="M224" s="181"/>
      <c r="N224" s="181"/>
      <c r="O224" s="181" t="s">
        <v>191</v>
      </c>
      <c r="Q224" s="195"/>
    </row>
    <row r="225" spans="2:17" x14ac:dyDescent="0.4">
      <c r="B225" s="181"/>
      <c r="C225" s="181"/>
      <c r="D225" s="181"/>
      <c r="E225" s="181"/>
      <c r="F225" s="181"/>
      <c r="G225" s="181"/>
      <c r="H225" s="181"/>
      <c r="I225" s="181"/>
      <c r="J225" s="181"/>
      <c r="K225" s="181"/>
      <c r="L225" s="181"/>
      <c r="M225" s="181"/>
      <c r="N225" s="181"/>
      <c r="O225" s="181"/>
      <c r="P225" s="181"/>
      <c r="Q225" s="195"/>
    </row>
    <row r="226" spans="2:17" x14ac:dyDescent="0.4">
      <c r="B226" s="181"/>
      <c r="C226" s="174"/>
      <c r="F226" s="234"/>
      <c r="G226" s="234" t="s">
        <v>192</v>
      </c>
      <c r="H226" s="234" t="s">
        <v>193</v>
      </c>
      <c r="I226" s="234" t="s">
        <v>194</v>
      </c>
      <c r="J226" s="234" t="s">
        <v>195</v>
      </c>
      <c r="K226" s="234" t="s">
        <v>196</v>
      </c>
      <c r="L226" s="234" t="s">
        <v>197</v>
      </c>
      <c r="M226" s="234" t="s">
        <v>198</v>
      </c>
      <c r="N226" s="234" t="s">
        <v>199</v>
      </c>
      <c r="O226" s="234" t="s">
        <v>200</v>
      </c>
      <c r="P226" s="236"/>
      <c r="Q226" s="195"/>
    </row>
    <row r="227" spans="2:17" x14ac:dyDescent="0.4">
      <c r="B227" s="181"/>
      <c r="C227" s="174" t="s">
        <v>75</v>
      </c>
      <c r="F227" s="186">
        <v>1</v>
      </c>
      <c r="G227" s="235">
        <v>203</v>
      </c>
      <c r="H227" s="235">
        <v>229</v>
      </c>
      <c r="I227" s="235">
        <v>388</v>
      </c>
      <c r="J227" s="235">
        <v>331</v>
      </c>
      <c r="K227" s="235">
        <v>309</v>
      </c>
      <c r="L227" s="235">
        <v>329</v>
      </c>
      <c r="M227" s="235">
        <v>93</v>
      </c>
      <c r="N227" s="235">
        <v>6</v>
      </c>
      <c r="O227" s="234">
        <f>SUM(G227:N227)</f>
        <v>1888</v>
      </c>
      <c r="P227" s="181"/>
      <c r="Q227" s="195"/>
    </row>
    <row r="228" spans="2:17" x14ac:dyDescent="0.4">
      <c r="B228" s="181"/>
      <c r="C228" s="174" t="s">
        <v>74</v>
      </c>
      <c r="F228" s="186">
        <v>2</v>
      </c>
      <c r="G228" s="235">
        <v>36</v>
      </c>
      <c r="H228" s="235">
        <v>60</v>
      </c>
      <c r="I228" s="235">
        <v>113</v>
      </c>
      <c r="J228" s="235">
        <v>186</v>
      </c>
      <c r="K228" s="235">
        <v>254</v>
      </c>
      <c r="L228" s="235">
        <v>264</v>
      </c>
      <c r="M228" s="235">
        <v>53</v>
      </c>
      <c r="N228" s="235">
        <v>1</v>
      </c>
      <c r="O228" s="234">
        <f>SUM(G228:N228)</f>
        <v>967</v>
      </c>
      <c r="P228" s="181"/>
      <c r="Q228" s="195"/>
    </row>
    <row r="229" spans="2:17" x14ac:dyDescent="0.4">
      <c r="B229" s="181"/>
      <c r="C229" s="174"/>
      <c r="F229" s="232" t="s">
        <v>201</v>
      </c>
      <c r="G229" s="235">
        <v>16</v>
      </c>
      <c r="H229" s="235">
        <v>13</v>
      </c>
      <c r="I229" s="235">
        <v>25</v>
      </c>
      <c r="J229" s="235">
        <v>37</v>
      </c>
      <c r="K229" s="235">
        <v>86</v>
      </c>
      <c r="L229" s="235">
        <v>140</v>
      </c>
      <c r="M229" s="235">
        <v>39</v>
      </c>
      <c r="N229" s="235">
        <v>2</v>
      </c>
      <c r="O229" s="234">
        <f>SUM(G229:N229)</f>
        <v>358</v>
      </c>
      <c r="P229" s="181"/>
      <c r="Q229" s="195"/>
    </row>
    <row r="230" spans="2:17" x14ac:dyDescent="0.4">
      <c r="B230" s="181"/>
      <c r="C230" s="174"/>
      <c r="F230" s="186" t="s">
        <v>200</v>
      </c>
      <c r="G230" s="234">
        <f t="shared" ref="G230:O230" si="28">SUM(G227:G229)</f>
        <v>255</v>
      </c>
      <c r="H230" s="234">
        <f t="shared" si="28"/>
        <v>302</v>
      </c>
      <c r="I230" s="234">
        <f t="shared" si="28"/>
        <v>526</v>
      </c>
      <c r="J230" s="234">
        <f t="shared" si="28"/>
        <v>554</v>
      </c>
      <c r="K230" s="234">
        <f t="shared" si="28"/>
        <v>649</v>
      </c>
      <c r="L230" s="234">
        <f t="shared" si="28"/>
        <v>733</v>
      </c>
      <c r="M230" s="234">
        <f t="shared" si="28"/>
        <v>185</v>
      </c>
      <c r="N230" s="234">
        <f t="shared" si="28"/>
        <v>9</v>
      </c>
      <c r="O230" s="234">
        <f t="shared" si="28"/>
        <v>3213</v>
      </c>
      <c r="P230" s="236"/>
      <c r="Q230" s="195"/>
    </row>
    <row r="231" spans="2:17" x14ac:dyDescent="0.4">
      <c r="B231" s="181"/>
      <c r="C231" s="174"/>
      <c r="P231" s="181"/>
      <c r="Q231" s="195"/>
    </row>
    <row r="232" spans="2:17" x14ac:dyDescent="0.4">
      <c r="B232" s="181"/>
      <c r="C232" s="174" t="s">
        <v>22</v>
      </c>
      <c r="D232" s="181"/>
      <c r="E232" s="181"/>
      <c r="F232" s="181"/>
      <c r="G232" s="181"/>
      <c r="H232" s="181"/>
      <c r="I232" s="181"/>
      <c r="J232" s="181"/>
      <c r="K232" s="181"/>
      <c r="L232" s="181"/>
      <c r="M232" s="181"/>
      <c r="N232" s="181"/>
      <c r="O232" s="181"/>
      <c r="P232" s="181"/>
      <c r="Q232" s="195"/>
    </row>
    <row r="233" spans="2:17" x14ac:dyDescent="0.4">
      <c r="B233" s="181"/>
      <c r="C233" s="181" t="s">
        <v>75</v>
      </c>
      <c r="D233" s="181"/>
      <c r="E233" s="212">
        <f>O227/O230</f>
        <v>0.5876128229069405</v>
      </c>
      <c r="F233" s="181"/>
      <c r="G233" s="212"/>
      <c r="H233" s="212"/>
      <c r="I233" s="212"/>
      <c r="J233" s="212"/>
      <c r="K233" s="212"/>
      <c r="L233" s="212"/>
      <c r="M233" s="212"/>
      <c r="N233" s="212"/>
      <c r="O233" s="181"/>
      <c r="P233" s="181"/>
      <c r="Q233" s="195"/>
    </row>
    <row r="234" spans="2:17" x14ac:dyDescent="0.4">
      <c r="B234" s="181"/>
      <c r="C234" s="181" t="s">
        <v>74</v>
      </c>
      <c r="D234" s="181"/>
      <c r="E234" s="212">
        <f>O228/O230</f>
        <v>0.3009648303765951</v>
      </c>
      <c r="F234" s="181"/>
      <c r="G234" s="181"/>
      <c r="H234" s="181"/>
      <c r="I234" s="181"/>
      <c r="J234" s="181"/>
      <c r="K234" s="181"/>
      <c r="L234" s="181"/>
      <c r="M234" s="181"/>
      <c r="N234" s="181"/>
      <c r="O234" s="181"/>
      <c r="P234" s="181"/>
      <c r="Q234" s="195"/>
    </row>
    <row r="235" spans="2:17" x14ac:dyDescent="0.4">
      <c r="B235" s="181"/>
      <c r="C235" s="213" t="s">
        <v>18</v>
      </c>
      <c r="D235" s="213"/>
      <c r="E235" s="212">
        <f>O229/O230</f>
        <v>0.11142234671646437</v>
      </c>
      <c r="F235" s="181"/>
      <c r="G235" s="181"/>
      <c r="H235" s="181"/>
      <c r="I235" s="181"/>
      <c r="J235" s="181"/>
      <c r="K235" s="181"/>
      <c r="L235" s="181"/>
      <c r="M235" s="181"/>
      <c r="N235" s="181"/>
      <c r="O235" s="181"/>
      <c r="P235" s="181"/>
      <c r="Q235" s="195"/>
    </row>
  </sheetData>
  <protectedRanges>
    <protectedRange sqref="H105:H109 K105:K109" name="範囲2_1"/>
    <protectedRange sqref="C15:C17 G12:N13 B4:H6 G22:N26 G36:N38 G48:N50 G59:N61 G70:N71 G78:N81 G96:N97 G99:N100 G115:N118 G129:N132 G143:N146 G157:N160 B1:K1" name="範囲1_1"/>
  </protectedRanges>
  <phoneticPr fontId="9"/>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206"/>
  <sheetViews>
    <sheetView view="pageBreakPreview" topLeftCell="A136" zoomScale="60" zoomScaleNormal="100" workbookViewId="0">
      <selection activeCell="H101" sqref="H101"/>
    </sheetView>
  </sheetViews>
  <sheetFormatPr defaultRowHeight="18.75" x14ac:dyDescent="0.4"/>
  <cols>
    <col min="1" max="5" width="9" style="248"/>
    <col min="6" max="6" width="9.875" style="248" customWidth="1"/>
    <col min="7" max="7" width="9" style="253" customWidth="1"/>
    <col min="8" max="16384" width="9" style="248"/>
  </cols>
  <sheetData>
    <row r="1" spans="1:16" ht="26.25" customHeight="1" x14ac:dyDescent="0.4">
      <c r="B1" s="249" t="s">
        <v>214</v>
      </c>
      <c r="C1" s="250"/>
      <c r="D1" s="250"/>
      <c r="E1" s="250"/>
      <c r="F1" s="250"/>
      <c r="G1" s="251"/>
      <c r="H1" s="250"/>
      <c r="I1" s="250"/>
      <c r="J1" s="250"/>
      <c r="K1" s="250"/>
      <c r="L1" s="250"/>
    </row>
    <row r="2" spans="1:16" ht="15" customHeight="1" x14ac:dyDescent="0.4">
      <c r="B2" s="252"/>
    </row>
    <row r="3" spans="1:16" ht="18" customHeight="1" x14ac:dyDescent="0.4">
      <c r="B3" s="254" t="s">
        <v>111</v>
      </c>
    </row>
    <row r="4" spans="1:16" ht="15" customHeight="1" x14ac:dyDescent="0.4">
      <c r="B4" s="250" t="s">
        <v>215</v>
      </c>
      <c r="C4" s="250"/>
      <c r="D4" s="250"/>
      <c r="E4" s="250"/>
      <c r="F4" s="250"/>
      <c r="G4" s="251"/>
      <c r="H4" s="250"/>
      <c r="I4" s="250"/>
    </row>
    <row r="5" spans="1:16" ht="15" customHeight="1" x14ac:dyDescent="0.4">
      <c r="B5" s="250" t="s">
        <v>216</v>
      </c>
      <c r="C5" s="250"/>
      <c r="D5" s="250"/>
      <c r="E5" s="250"/>
      <c r="F5" s="250"/>
      <c r="G5" s="251"/>
      <c r="H5" s="250"/>
      <c r="I5" s="250"/>
    </row>
    <row r="6" spans="1:16" ht="15" customHeight="1" x14ac:dyDescent="0.4">
      <c r="A6" s="248" t="s">
        <v>108</v>
      </c>
      <c r="B6" s="250" t="s">
        <v>217</v>
      </c>
      <c r="C6" s="250"/>
      <c r="D6" s="250"/>
      <c r="E6" s="250"/>
      <c r="F6" s="250"/>
      <c r="G6" s="251"/>
      <c r="H6" s="250"/>
      <c r="I6" s="250"/>
    </row>
    <row r="7" spans="1:16" ht="13.5" customHeight="1" x14ac:dyDescent="0.4">
      <c r="B7" s="255"/>
    </row>
    <row r="8" spans="1:16" ht="18" customHeight="1" x14ac:dyDescent="0.4">
      <c r="B8" s="254" t="s">
        <v>106</v>
      </c>
    </row>
    <row r="9" spans="1:16" x14ac:dyDescent="0.4">
      <c r="B9" s="248" t="s">
        <v>105</v>
      </c>
      <c r="P9" s="256" t="s">
        <v>32</v>
      </c>
    </row>
    <row r="10" spans="1:16" ht="9" customHeight="1" x14ac:dyDescent="0.4">
      <c r="F10" s="257"/>
      <c r="G10" s="258"/>
      <c r="P10" s="256"/>
    </row>
    <row r="11" spans="1:16" x14ac:dyDescent="0.4">
      <c r="B11" s="253" t="s">
        <v>104</v>
      </c>
      <c r="C11" s="259">
        <f>P12</f>
        <v>3133</v>
      </c>
      <c r="D11" s="260">
        <f>P12/$P$15</f>
        <v>0.44616918256906862</v>
      </c>
      <c r="E11" s="261"/>
      <c r="F11" s="262"/>
      <c r="G11" s="263" t="s">
        <v>218</v>
      </c>
      <c r="H11" s="264" t="s">
        <v>31</v>
      </c>
      <c r="I11" s="265" t="s">
        <v>30</v>
      </c>
      <c r="J11" s="265" t="s">
        <v>29</v>
      </c>
      <c r="K11" s="265" t="s">
        <v>28</v>
      </c>
      <c r="L11" s="265" t="s">
        <v>27</v>
      </c>
      <c r="M11" s="265" t="s">
        <v>26</v>
      </c>
      <c r="N11" s="266" t="s">
        <v>25</v>
      </c>
      <c r="O11" s="264" t="s">
        <v>24</v>
      </c>
      <c r="P11" s="265" t="s">
        <v>23</v>
      </c>
    </row>
    <row r="12" spans="1:16" x14ac:dyDescent="0.4">
      <c r="B12" s="253" t="s">
        <v>102</v>
      </c>
      <c r="C12" s="259">
        <f t="shared" ref="C12" si="0">P13</f>
        <v>3886</v>
      </c>
      <c r="D12" s="260">
        <f>P13/$P$15</f>
        <v>0.55340358872116202</v>
      </c>
      <c r="E12" s="261"/>
      <c r="F12" s="263" t="s">
        <v>100</v>
      </c>
      <c r="G12" s="267">
        <v>14</v>
      </c>
      <c r="H12" s="268">
        <v>240</v>
      </c>
      <c r="I12" s="269">
        <v>348</v>
      </c>
      <c r="J12" s="269">
        <v>459</v>
      </c>
      <c r="K12" s="269">
        <v>496</v>
      </c>
      <c r="L12" s="269">
        <v>549</v>
      </c>
      <c r="M12" s="269">
        <v>763</v>
      </c>
      <c r="N12" s="270">
        <v>249</v>
      </c>
      <c r="O12" s="268">
        <v>15</v>
      </c>
      <c r="P12" s="271">
        <f>SUM(G12:O12)</f>
        <v>3133</v>
      </c>
    </row>
    <row r="13" spans="1:16" x14ac:dyDescent="0.4">
      <c r="B13" s="272" t="s">
        <v>219</v>
      </c>
      <c r="C13" s="259">
        <f>P14</f>
        <v>3</v>
      </c>
      <c r="D13" s="260">
        <f>P14/$P$15</f>
        <v>4.2722870976929649E-4</v>
      </c>
      <c r="E13" s="273"/>
      <c r="F13" s="263" t="s">
        <v>97</v>
      </c>
      <c r="G13" s="267">
        <v>2</v>
      </c>
      <c r="H13" s="268">
        <v>186</v>
      </c>
      <c r="I13" s="269">
        <v>301</v>
      </c>
      <c r="J13" s="269">
        <v>515</v>
      </c>
      <c r="K13" s="269">
        <v>540</v>
      </c>
      <c r="L13" s="269">
        <v>866</v>
      </c>
      <c r="M13" s="269">
        <v>1105</v>
      </c>
      <c r="N13" s="270">
        <v>341</v>
      </c>
      <c r="O13" s="268">
        <v>30</v>
      </c>
      <c r="P13" s="271">
        <f>SUM(G13:O13)</f>
        <v>3886</v>
      </c>
    </row>
    <row r="14" spans="1:16" x14ac:dyDescent="0.4">
      <c r="B14" s="253" t="s">
        <v>99</v>
      </c>
      <c r="C14" s="259">
        <v>7022</v>
      </c>
      <c r="D14" s="255"/>
      <c r="E14" s="274"/>
      <c r="F14" s="275" t="s">
        <v>18</v>
      </c>
      <c r="G14" s="267">
        <v>0</v>
      </c>
      <c r="H14" s="268">
        <v>0</v>
      </c>
      <c r="I14" s="269">
        <v>0</v>
      </c>
      <c r="J14" s="269">
        <v>0</v>
      </c>
      <c r="K14" s="269">
        <v>1</v>
      </c>
      <c r="L14" s="269">
        <v>0</v>
      </c>
      <c r="M14" s="269">
        <v>1</v>
      </c>
      <c r="N14" s="270">
        <v>0</v>
      </c>
      <c r="O14" s="268">
        <v>1</v>
      </c>
      <c r="P14" s="271">
        <f>SUM(G14:O14)</f>
        <v>3</v>
      </c>
    </row>
    <row r="15" spans="1:16" x14ac:dyDescent="0.4">
      <c r="C15" s="255"/>
      <c r="D15" s="255"/>
      <c r="E15" s="274"/>
      <c r="F15" s="264" t="s">
        <v>23</v>
      </c>
      <c r="G15" s="276">
        <f>SUM(G12:G14)</f>
        <v>16</v>
      </c>
      <c r="H15" s="276">
        <f>SUM(H12:H14)</f>
        <v>426</v>
      </c>
      <c r="I15" s="276">
        <f t="shared" ref="I15:O15" si="1">SUM(I12:I14)</f>
        <v>649</v>
      </c>
      <c r="J15" s="276">
        <f t="shared" si="1"/>
        <v>974</v>
      </c>
      <c r="K15" s="276">
        <f t="shared" si="1"/>
        <v>1037</v>
      </c>
      <c r="L15" s="276">
        <f t="shared" si="1"/>
        <v>1415</v>
      </c>
      <c r="M15" s="276">
        <f t="shared" si="1"/>
        <v>1869</v>
      </c>
      <c r="N15" s="276">
        <f t="shared" si="1"/>
        <v>590</v>
      </c>
      <c r="O15" s="276">
        <f t="shared" si="1"/>
        <v>46</v>
      </c>
      <c r="P15" s="271">
        <f>SUM(G15:O15)</f>
        <v>7022</v>
      </c>
    </row>
    <row r="16" spans="1:16" x14ac:dyDescent="0.4">
      <c r="B16" s="253" t="s">
        <v>96</v>
      </c>
      <c r="C16" s="250">
        <v>18</v>
      </c>
      <c r="D16" s="255"/>
      <c r="F16" s="277" t="s">
        <v>94</v>
      </c>
      <c r="G16" s="278">
        <f>G15/$P$15</f>
        <v>2.2785531187695814E-3</v>
      </c>
      <c r="H16" s="278">
        <f>H15/$P$15</f>
        <v>6.0666476787240103E-2</v>
      </c>
      <c r="I16" s="278">
        <f t="shared" ref="I16:O16" si="2">I15/$P$15</f>
        <v>9.2423810880091148E-2</v>
      </c>
      <c r="J16" s="278">
        <f t="shared" si="2"/>
        <v>0.13870692110509827</v>
      </c>
      <c r="K16" s="278">
        <f t="shared" si="2"/>
        <v>0.14767872401025348</v>
      </c>
      <c r="L16" s="278">
        <f>L15/$P$15</f>
        <v>0.20150954144118485</v>
      </c>
      <c r="M16" s="278">
        <f t="shared" si="2"/>
        <v>0.26616348618627172</v>
      </c>
      <c r="N16" s="278">
        <f t="shared" si="2"/>
        <v>8.402164625462831E-2</v>
      </c>
      <c r="O16" s="278">
        <f t="shared" si="2"/>
        <v>6.5508402164625463E-3</v>
      </c>
      <c r="P16" s="279"/>
    </row>
    <row r="17" spans="2:16" x14ac:dyDescent="0.4">
      <c r="B17" s="253" t="s">
        <v>93</v>
      </c>
      <c r="C17" s="250">
        <v>100</v>
      </c>
      <c r="D17" s="255"/>
      <c r="H17" s="280"/>
      <c r="I17" s="281"/>
      <c r="J17" s="281"/>
      <c r="K17" s="281"/>
      <c r="L17" s="281"/>
      <c r="M17" s="281"/>
      <c r="N17" s="281"/>
      <c r="O17" s="282"/>
    </row>
    <row r="18" spans="2:16" x14ac:dyDescent="0.4">
      <c r="B18" s="283" t="s">
        <v>91</v>
      </c>
      <c r="C18" s="250">
        <v>59.4</v>
      </c>
      <c r="D18" s="255"/>
      <c r="O18" s="274"/>
    </row>
    <row r="19" spans="2:16" x14ac:dyDescent="0.4">
      <c r="N19" s="274"/>
    </row>
    <row r="20" spans="2:16" x14ac:dyDescent="0.4">
      <c r="B20" s="248" t="s">
        <v>89</v>
      </c>
      <c r="P20" s="256" t="s">
        <v>32</v>
      </c>
    </row>
    <row r="21" spans="2:16" ht="9" customHeight="1" x14ac:dyDescent="0.4">
      <c r="P21" s="256"/>
    </row>
    <row r="22" spans="2:16" x14ac:dyDescent="0.4">
      <c r="F22" s="262"/>
      <c r="G22" s="263" t="s">
        <v>218</v>
      </c>
      <c r="H22" s="264" t="s">
        <v>31</v>
      </c>
      <c r="I22" s="265" t="s">
        <v>30</v>
      </c>
      <c r="J22" s="265" t="s">
        <v>29</v>
      </c>
      <c r="K22" s="265" t="s">
        <v>28</v>
      </c>
      <c r="L22" s="265" t="s">
        <v>27</v>
      </c>
      <c r="M22" s="265" t="s">
        <v>26</v>
      </c>
      <c r="N22" s="266" t="s">
        <v>25</v>
      </c>
      <c r="O22" s="264" t="s">
        <v>24</v>
      </c>
      <c r="P22" s="265" t="s">
        <v>23</v>
      </c>
    </row>
    <row r="23" spans="2:16" x14ac:dyDescent="0.4">
      <c r="C23" s="248" t="s">
        <v>88</v>
      </c>
      <c r="F23" s="263">
        <v>1</v>
      </c>
      <c r="G23" s="267">
        <v>1</v>
      </c>
      <c r="H23" s="268">
        <v>54</v>
      </c>
      <c r="I23" s="269">
        <v>107</v>
      </c>
      <c r="J23" s="269">
        <v>226</v>
      </c>
      <c r="K23" s="269">
        <v>284</v>
      </c>
      <c r="L23" s="269">
        <v>461</v>
      </c>
      <c r="M23" s="269">
        <v>668</v>
      </c>
      <c r="N23" s="270">
        <v>236</v>
      </c>
      <c r="O23" s="268">
        <v>17</v>
      </c>
      <c r="P23" s="271">
        <f t="shared" ref="P23:P28" si="3">SUM(G23:O23)</f>
        <v>2054</v>
      </c>
    </row>
    <row r="24" spans="2:16" x14ac:dyDescent="0.4">
      <c r="C24" s="248" t="s">
        <v>87</v>
      </c>
      <c r="F24" s="263">
        <v>2</v>
      </c>
      <c r="G24" s="267">
        <v>1</v>
      </c>
      <c r="H24" s="268">
        <v>71</v>
      </c>
      <c r="I24" s="269">
        <v>159</v>
      </c>
      <c r="J24" s="269">
        <v>222</v>
      </c>
      <c r="K24" s="269">
        <v>191</v>
      </c>
      <c r="L24" s="269">
        <v>243</v>
      </c>
      <c r="M24" s="269">
        <v>289</v>
      </c>
      <c r="N24" s="270">
        <v>72</v>
      </c>
      <c r="O24" s="268">
        <v>3</v>
      </c>
      <c r="P24" s="271">
        <f t="shared" si="3"/>
        <v>1251</v>
      </c>
    </row>
    <row r="25" spans="2:16" x14ac:dyDescent="0.4">
      <c r="C25" s="248" t="s">
        <v>86</v>
      </c>
      <c r="F25" s="263">
        <v>3</v>
      </c>
      <c r="G25" s="267">
        <v>3</v>
      </c>
      <c r="H25" s="268">
        <v>117</v>
      </c>
      <c r="I25" s="269">
        <v>153</v>
      </c>
      <c r="J25" s="269">
        <v>215</v>
      </c>
      <c r="K25" s="269">
        <v>228</v>
      </c>
      <c r="L25" s="269">
        <v>202</v>
      </c>
      <c r="M25" s="269">
        <v>208</v>
      </c>
      <c r="N25" s="270">
        <v>44</v>
      </c>
      <c r="O25" s="268">
        <v>2</v>
      </c>
      <c r="P25" s="271">
        <f t="shared" si="3"/>
        <v>1172</v>
      </c>
    </row>
    <row r="26" spans="2:16" x14ac:dyDescent="0.4">
      <c r="C26" s="248" t="s">
        <v>85</v>
      </c>
      <c r="F26" s="284">
        <v>4</v>
      </c>
      <c r="G26" s="267">
        <v>11</v>
      </c>
      <c r="H26" s="285">
        <v>183</v>
      </c>
      <c r="I26" s="286">
        <v>229</v>
      </c>
      <c r="J26" s="286">
        <v>310</v>
      </c>
      <c r="K26" s="286">
        <v>333</v>
      </c>
      <c r="L26" s="286">
        <v>495</v>
      </c>
      <c r="M26" s="286">
        <v>664</v>
      </c>
      <c r="N26" s="287">
        <v>208</v>
      </c>
      <c r="O26" s="268">
        <v>20</v>
      </c>
      <c r="P26" s="271">
        <f t="shared" si="3"/>
        <v>2453</v>
      </c>
    </row>
    <row r="27" spans="2:16" x14ac:dyDescent="0.4">
      <c r="F27" s="275" t="s">
        <v>18</v>
      </c>
      <c r="G27" s="267">
        <v>0</v>
      </c>
      <c r="H27" s="285">
        <v>1</v>
      </c>
      <c r="I27" s="286">
        <v>1</v>
      </c>
      <c r="J27" s="286">
        <v>1</v>
      </c>
      <c r="K27" s="286">
        <v>1</v>
      </c>
      <c r="L27" s="286">
        <v>14</v>
      </c>
      <c r="M27" s="286">
        <v>40</v>
      </c>
      <c r="N27" s="287">
        <v>30</v>
      </c>
      <c r="O27" s="268">
        <v>4</v>
      </c>
      <c r="P27" s="271">
        <f t="shared" si="3"/>
        <v>92</v>
      </c>
    </row>
    <row r="28" spans="2:16" x14ac:dyDescent="0.4">
      <c r="B28" s="248" t="s">
        <v>54</v>
      </c>
      <c r="F28" s="288" t="s">
        <v>23</v>
      </c>
      <c r="G28" s="289">
        <f>SUM(G23:G27)</f>
        <v>16</v>
      </c>
      <c r="H28" s="289">
        <f>SUM(H23:H27)</f>
        <v>426</v>
      </c>
      <c r="I28" s="289">
        <f t="shared" ref="I28:O28" si="4">SUM(I23:I27)</f>
        <v>649</v>
      </c>
      <c r="J28" s="289">
        <f t="shared" si="4"/>
        <v>974</v>
      </c>
      <c r="K28" s="289">
        <f t="shared" si="4"/>
        <v>1037</v>
      </c>
      <c r="L28" s="289">
        <f t="shared" si="4"/>
        <v>1415</v>
      </c>
      <c r="M28" s="289">
        <f t="shared" si="4"/>
        <v>1869</v>
      </c>
      <c r="N28" s="289">
        <f t="shared" si="4"/>
        <v>590</v>
      </c>
      <c r="O28" s="289">
        <f t="shared" si="4"/>
        <v>46</v>
      </c>
      <c r="P28" s="271">
        <f t="shared" si="3"/>
        <v>7022</v>
      </c>
    </row>
    <row r="29" spans="2:16" x14ac:dyDescent="0.4">
      <c r="B29" s="248" t="s">
        <v>84</v>
      </c>
    </row>
    <row r="30" spans="2:16" x14ac:dyDescent="0.4">
      <c r="D30" s="248" t="s">
        <v>83</v>
      </c>
      <c r="G30" s="253" t="s">
        <v>218</v>
      </c>
      <c r="H30" s="253" t="s">
        <v>31</v>
      </c>
      <c r="I30" s="253" t="s">
        <v>30</v>
      </c>
      <c r="J30" s="253" t="s">
        <v>29</v>
      </c>
      <c r="K30" s="253" t="s">
        <v>28</v>
      </c>
      <c r="L30" s="253" t="s">
        <v>27</v>
      </c>
      <c r="M30" s="253" t="s">
        <v>26</v>
      </c>
      <c r="N30" s="253" t="s">
        <v>25</v>
      </c>
      <c r="O30" s="253" t="s">
        <v>63</v>
      </c>
    </row>
    <row r="31" spans="2:16" x14ac:dyDescent="0.4">
      <c r="B31" s="248" t="s">
        <v>82</v>
      </c>
      <c r="G31" s="290">
        <f>SUM(G23:G25)/G28</f>
        <v>0.3125</v>
      </c>
      <c r="H31" s="290">
        <f>SUM(H23:H25)/H28</f>
        <v>0.568075117370892</v>
      </c>
      <c r="I31" s="290">
        <f t="shared" ref="I31:O31" si="5">SUM(I23:I25)/I28</f>
        <v>0.6456086286594761</v>
      </c>
      <c r="J31" s="290">
        <f t="shared" si="5"/>
        <v>0.6806981519507187</v>
      </c>
      <c r="K31" s="290">
        <f t="shared" si="5"/>
        <v>0.67791706846673094</v>
      </c>
      <c r="L31" s="290">
        <f t="shared" si="5"/>
        <v>0.64028268551236744</v>
      </c>
      <c r="M31" s="290">
        <f t="shared" si="5"/>
        <v>0.62332798287854463</v>
      </c>
      <c r="N31" s="290">
        <f t="shared" si="5"/>
        <v>0.59661016949152545</v>
      </c>
      <c r="O31" s="290">
        <f t="shared" si="5"/>
        <v>0.47826086956521741</v>
      </c>
    </row>
    <row r="32" spans="2:16" x14ac:dyDescent="0.4">
      <c r="D32" s="248" t="s">
        <v>81</v>
      </c>
    </row>
    <row r="34" spans="2:16" x14ac:dyDescent="0.4">
      <c r="B34" s="248" t="s">
        <v>80</v>
      </c>
      <c r="P34" s="256" t="s">
        <v>32</v>
      </c>
    </row>
    <row r="35" spans="2:16" ht="9" customHeight="1" x14ac:dyDescent="0.4">
      <c r="P35" s="256"/>
    </row>
    <row r="36" spans="2:16" x14ac:dyDescent="0.4">
      <c r="C36" s="248" t="s">
        <v>22</v>
      </c>
      <c r="D36" s="291"/>
      <c r="F36" s="262"/>
      <c r="G36" s="263" t="s">
        <v>218</v>
      </c>
      <c r="H36" s="264" t="s">
        <v>31</v>
      </c>
      <c r="I36" s="265" t="s">
        <v>30</v>
      </c>
      <c r="J36" s="265" t="s">
        <v>29</v>
      </c>
      <c r="K36" s="265" t="s">
        <v>28</v>
      </c>
      <c r="L36" s="265" t="s">
        <v>27</v>
      </c>
      <c r="M36" s="265" t="s">
        <v>26</v>
      </c>
      <c r="N36" s="266" t="s">
        <v>25</v>
      </c>
      <c r="O36" s="264" t="s">
        <v>24</v>
      </c>
      <c r="P36" s="265" t="s">
        <v>23</v>
      </c>
    </row>
    <row r="37" spans="2:16" x14ac:dyDescent="0.4">
      <c r="C37" s="248" t="s">
        <v>75</v>
      </c>
      <c r="D37" s="291">
        <f>P37/$P$40</f>
        <v>0.36898319567074905</v>
      </c>
      <c r="F37" s="263">
        <v>1</v>
      </c>
      <c r="G37" s="267">
        <v>5</v>
      </c>
      <c r="H37" s="268">
        <v>140</v>
      </c>
      <c r="I37" s="269">
        <v>246</v>
      </c>
      <c r="J37" s="269">
        <v>364</v>
      </c>
      <c r="K37" s="269">
        <v>367</v>
      </c>
      <c r="L37" s="269">
        <v>503</v>
      </c>
      <c r="M37" s="269">
        <v>715</v>
      </c>
      <c r="N37" s="270">
        <v>244</v>
      </c>
      <c r="O37" s="268">
        <v>7</v>
      </c>
      <c r="P37" s="271">
        <f>SUM(G37:O37)</f>
        <v>2591</v>
      </c>
    </row>
    <row r="38" spans="2:16" x14ac:dyDescent="0.4">
      <c r="C38" s="248" t="s">
        <v>74</v>
      </c>
      <c r="D38" s="291">
        <f t="shared" ref="D38:D39" si="6">P38/$P$40</f>
        <v>0.62104813443463402</v>
      </c>
      <c r="F38" s="263">
        <v>2</v>
      </c>
      <c r="G38" s="267">
        <v>11</v>
      </c>
      <c r="H38" s="268">
        <v>285</v>
      </c>
      <c r="I38" s="269">
        <v>403</v>
      </c>
      <c r="J38" s="269">
        <v>607</v>
      </c>
      <c r="K38" s="269">
        <v>668</v>
      </c>
      <c r="L38" s="269">
        <v>894</v>
      </c>
      <c r="M38" s="269">
        <v>1125</v>
      </c>
      <c r="N38" s="270">
        <v>329</v>
      </c>
      <c r="O38" s="268">
        <v>39</v>
      </c>
      <c r="P38" s="271">
        <f t="shared" ref="P38:P40" si="7">SUM(G38:O38)</f>
        <v>4361</v>
      </c>
    </row>
    <row r="39" spans="2:16" x14ac:dyDescent="0.4">
      <c r="C39" s="292" t="s">
        <v>18</v>
      </c>
      <c r="D39" s="291">
        <f t="shared" si="6"/>
        <v>9.9686698946169182E-3</v>
      </c>
      <c r="F39" s="275" t="s">
        <v>18</v>
      </c>
      <c r="G39" s="267">
        <v>0</v>
      </c>
      <c r="H39" s="285">
        <v>1</v>
      </c>
      <c r="I39" s="286">
        <v>0</v>
      </c>
      <c r="J39" s="286">
        <v>3</v>
      </c>
      <c r="K39" s="286">
        <v>2</v>
      </c>
      <c r="L39" s="286">
        <v>18</v>
      </c>
      <c r="M39" s="286">
        <v>29</v>
      </c>
      <c r="N39" s="287">
        <v>17</v>
      </c>
      <c r="O39" s="268">
        <v>0</v>
      </c>
      <c r="P39" s="271">
        <f t="shared" si="7"/>
        <v>70</v>
      </c>
    </row>
    <row r="40" spans="2:16" x14ac:dyDescent="0.4">
      <c r="F40" s="288" t="s">
        <v>23</v>
      </c>
      <c r="G40" s="289">
        <f>SUM(G37:G39)</f>
        <v>16</v>
      </c>
      <c r="H40" s="289">
        <f>SUM(H37:H39)</f>
        <v>426</v>
      </c>
      <c r="I40" s="289">
        <f t="shared" ref="I40:O40" si="8">SUM(I37:I39)</f>
        <v>649</v>
      </c>
      <c r="J40" s="289">
        <f t="shared" si="8"/>
        <v>974</v>
      </c>
      <c r="K40" s="289">
        <f t="shared" si="8"/>
        <v>1037</v>
      </c>
      <c r="L40" s="289">
        <f t="shared" si="8"/>
        <v>1415</v>
      </c>
      <c r="M40" s="289">
        <f t="shared" si="8"/>
        <v>1869</v>
      </c>
      <c r="N40" s="289">
        <f t="shared" si="8"/>
        <v>590</v>
      </c>
      <c r="O40" s="289">
        <f t="shared" si="8"/>
        <v>46</v>
      </c>
      <c r="P40" s="271">
        <f t="shared" si="7"/>
        <v>7022</v>
      </c>
    </row>
    <row r="42" spans="2:16" x14ac:dyDescent="0.4">
      <c r="B42" s="248" t="s">
        <v>54</v>
      </c>
      <c r="G42" s="253" t="s">
        <v>218</v>
      </c>
      <c r="H42" s="253" t="s">
        <v>31</v>
      </c>
      <c r="I42" s="253" t="s">
        <v>30</v>
      </c>
      <c r="J42" s="253" t="s">
        <v>29</v>
      </c>
      <c r="K42" s="253" t="s">
        <v>28</v>
      </c>
      <c r="L42" s="253" t="s">
        <v>27</v>
      </c>
      <c r="M42" s="253" t="s">
        <v>26</v>
      </c>
      <c r="N42" s="253" t="s">
        <v>25</v>
      </c>
      <c r="O42" s="253" t="s">
        <v>63</v>
      </c>
    </row>
    <row r="43" spans="2:16" x14ac:dyDescent="0.4">
      <c r="B43" s="248" t="s">
        <v>79</v>
      </c>
      <c r="G43" s="290">
        <f>G37/G40</f>
        <v>0.3125</v>
      </c>
      <c r="H43" s="290">
        <f>H37/H40</f>
        <v>0.32863849765258218</v>
      </c>
      <c r="I43" s="290">
        <f t="shared" ref="I43:O43" si="9">I37/I40</f>
        <v>0.37904468412942988</v>
      </c>
      <c r="J43" s="290">
        <f t="shared" si="9"/>
        <v>0.37371663244353182</v>
      </c>
      <c r="K43" s="290">
        <f t="shared" si="9"/>
        <v>0.35390549662487947</v>
      </c>
      <c r="L43" s="290">
        <f t="shared" si="9"/>
        <v>0.35547703180212015</v>
      </c>
      <c r="M43" s="290">
        <f t="shared" si="9"/>
        <v>0.38255751738897809</v>
      </c>
      <c r="N43" s="290">
        <f t="shared" si="9"/>
        <v>0.41355932203389828</v>
      </c>
      <c r="O43" s="290">
        <f t="shared" si="9"/>
        <v>0.15217391304347827</v>
      </c>
    </row>
    <row r="44" spans="2:16" x14ac:dyDescent="0.4">
      <c r="D44" s="248" t="s">
        <v>78</v>
      </c>
    </row>
    <row r="46" spans="2:16" x14ac:dyDescent="0.4">
      <c r="B46" s="248" t="s">
        <v>77</v>
      </c>
      <c r="P46" s="256" t="s">
        <v>32</v>
      </c>
    </row>
    <row r="47" spans="2:16" ht="9" customHeight="1" x14ac:dyDescent="0.4">
      <c r="P47" s="256"/>
    </row>
    <row r="48" spans="2:16" x14ac:dyDescent="0.4">
      <c r="B48" s="293"/>
      <c r="C48" s="248" t="s">
        <v>22</v>
      </c>
      <c r="D48" s="291"/>
      <c r="F48" s="262"/>
      <c r="G48" s="263" t="s">
        <v>218</v>
      </c>
      <c r="H48" s="264" t="s">
        <v>31</v>
      </c>
      <c r="I48" s="265" t="s">
        <v>30</v>
      </c>
      <c r="J48" s="265" t="s">
        <v>29</v>
      </c>
      <c r="K48" s="265" t="s">
        <v>28</v>
      </c>
      <c r="L48" s="265" t="s">
        <v>27</v>
      </c>
      <c r="M48" s="265" t="s">
        <v>26</v>
      </c>
      <c r="N48" s="266" t="s">
        <v>25</v>
      </c>
      <c r="O48" s="264" t="s">
        <v>24</v>
      </c>
      <c r="P48" s="265" t="s">
        <v>23</v>
      </c>
    </row>
    <row r="49" spans="2:16" x14ac:dyDescent="0.4">
      <c r="C49" s="248" t="s">
        <v>75</v>
      </c>
      <c r="D49" s="291">
        <f>P49/$P$52</f>
        <v>0.14411848476217601</v>
      </c>
      <c r="F49" s="263">
        <v>1</v>
      </c>
      <c r="G49" s="267">
        <v>0</v>
      </c>
      <c r="H49" s="268">
        <v>80</v>
      </c>
      <c r="I49" s="269">
        <v>115</v>
      </c>
      <c r="J49" s="269">
        <v>181</v>
      </c>
      <c r="K49" s="269">
        <v>182</v>
      </c>
      <c r="L49" s="269">
        <v>223</v>
      </c>
      <c r="M49" s="269">
        <v>192</v>
      </c>
      <c r="N49" s="270">
        <v>37</v>
      </c>
      <c r="O49" s="268">
        <v>2</v>
      </c>
      <c r="P49" s="271">
        <f t="shared" ref="P49:P52" si="10">SUM(G49:O49)</f>
        <v>1012</v>
      </c>
    </row>
    <row r="50" spans="2:16" x14ac:dyDescent="0.4">
      <c r="C50" s="248" t="s">
        <v>74</v>
      </c>
      <c r="D50" s="291">
        <f>P50/$P$52</f>
        <v>0.82910851609228142</v>
      </c>
      <c r="F50" s="263">
        <v>2</v>
      </c>
      <c r="G50" s="267">
        <v>16</v>
      </c>
      <c r="H50" s="268">
        <v>345</v>
      </c>
      <c r="I50" s="269">
        <v>531</v>
      </c>
      <c r="J50" s="269">
        <v>784</v>
      </c>
      <c r="K50" s="269">
        <v>842</v>
      </c>
      <c r="L50" s="269">
        <v>1146</v>
      </c>
      <c r="M50" s="269">
        <v>1599</v>
      </c>
      <c r="N50" s="270">
        <v>518</v>
      </c>
      <c r="O50" s="268">
        <v>41</v>
      </c>
      <c r="P50" s="271">
        <f t="shared" si="10"/>
        <v>5822</v>
      </c>
    </row>
    <row r="51" spans="2:16" x14ac:dyDescent="0.4">
      <c r="C51" s="292" t="s">
        <v>18</v>
      </c>
      <c r="D51" s="291">
        <f>P51/$P$52</f>
        <v>2.677299914554258E-2</v>
      </c>
      <c r="F51" s="275" t="s">
        <v>18</v>
      </c>
      <c r="G51" s="267">
        <v>0</v>
      </c>
      <c r="H51" s="285">
        <v>1</v>
      </c>
      <c r="I51" s="286">
        <v>3</v>
      </c>
      <c r="J51" s="286">
        <v>9</v>
      </c>
      <c r="K51" s="286">
        <v>13</v>
      </c>
      <c r="L51" s="286">
        <v>46</v>
      </c>
      <c r="M51" s="286">
        <v>78</v>
      </c>
      <c r="N51" s="287">
        <v>35</v>
      </c>
      <c r="O51" s="268">
        <v>3</v>
      </c>
      <c r="P51" s="271">
        <f t="shared" si="10"/>
        <v>188</v>
      </c>
    </row>
    <row r="52" spans="2:16" x14ac:dyDescent="0.4">
      <c r="F52" s="288" t="s">
        <v>23</v>
      </c>
      <c r="G52" s="289">
        <f>SUM(G49:G51)</f>
        <v>16</v>
      </c>
      <c r="H52" s="289">
        <f>SUM(H49:H51)</f>
        <v>426</v>
      </c>
      <c r="I52" s="289">
        <f t="shared" ref="I52:O52" si="11">SUM(I49:I51)</f>
        <v>649</v>
      </c>
      <c r="J52" s="289">
        <f t="shared" si="11"/>
        <v>974</v>
      </c>
      <c r="K52" s="289">
        <f t="shared" si="11"/>
        <v>1037</v>
      </c>
      <c r="L52" s="289">
        <f t="shared" si="11"/>
        <v>1415</v>
      </c>
      <c r="M52" s="289">
        <f t="shared" si="11"/>
        <v>1869</v>
      </c>
      <c r="N52" s="289">
        <f t="shared" si="11"/>
        <v>590</v>
      </c>
      <c r="O52" s="289">
        <f t="shared" si="11"/>
        <v>46</v>
      </c>
      <c r="P52" s="271">
        <f t="shared" si="10"/>
        <v>7022</v>
      </c>
    </row>
    <row r="54" spans="2:16" x14ac:dyDescent="0.4">
      <c r="G54" s="253" t="s">
        <v>218</v>
      </c>
      <c r="H54" s="253" t="s">
        <v>31</v>
      </c>
      <c r="I54" s="253" t="s">
        <v>30</v>
      </c>
      <c r="J54" s="253" t="s">
        <v>29</v>
      </c>
      <c r="K54" s="253" t="s">
        <v>28</v>
      </c>
      <c r="L54" s="253" t="s">
        <v>27</v>
      </c>
      <c r="M54" s="253" t="s">
        <v>26</v>
      </c>
      <c r="N54" s="253" t="s">
        <v>25</v>
      </c>
      <c r="O54" s="253" t="s">
        <v>63</v>
      </c>
    </row>
    <row r="55" spans="2:16" x14ac:dyDescent="0.4">
      <c r="G55" s="290">
        <f>G49/G52</f>
        <v>0</v>
      </c>
      <c r="H55" s="290">
        <f>H49/H52</f>
        <v>0.18779342723004694</v>
      </c>
      <c r="I55" s="290">
        <f t="shared" ref="I55:O55" si="12">I49/I52</f>
        <v>0.17719568567026195</v>
      </c>
      <c r="J55" s="290">
        <f t="shared" si="12"/>
        <v>0.18583162217659138</v>
      </c>
      <c r="K55" s="290">
        <f t="shared" si="12"/>
        <v>0.17550626808100289</v>
      </c>
      <c r="L55" s="290">
        <f t="shared" si="12"/>
        <v>0.15759717314487631</v>
      </c>
      <c r="M55" s="290">
        <f t="shared" si="12"/>
        <v>0.10272873194221509</v>
      </c>
      <c r="N55" s="290">
        <f t="shared" si="12"/>
        <v>6.2711864406779658E-2</v>
      </c>
      <c r="O55" s="290">
        <f t="shared" si="12"/>
        <v>4.3478260869565216E-2</v>
      </c>
    </row>
    <row r="57" spans="2:16" x14ac:dyDescent="0.4">
      <c r="B57" s="248" t="s">
        <v>76</v>
      </c>
      <c r="P57" s="256" t="s">
        <v>32</v>
      </c>
    </row>
    <row r="58" spans="2:16" ht="9" customHeight="1" x14ac:dyDescent="0.4">
      <c r="P58" s="256"/>
    </row>
    <row r="59" spans="2:16" x14ac:dyDescent="0.4">
      <c r="B59" s="293"/>
      <c r="C59" s="248" t="s">
        <v>22</v>
      </c>
      <c r="D59" s="291"/>
      <c r="F59" s="262"/>
      <c r="G59" s="263" t="s">
        <v>218</v>
      </c>
      <c r="H59" s="264" t="s">
        <v>31</v>
      </c>
      <c r="I59" s="265" t="s">
        <v>30</v>
      </c>
      <c r="J59" s="265" t="s">
        <v>29</v>
      </c>
      <c r="K59" s="265" t="s">
        <v>28</v>
      </c>
      <c r="L59" s="265" t="s">
        <v>27</v>
      </c>
      <c r="M59" s="265" t="s">
        <v>26</v>
      </c>
      <c r="N59" s="266" t="s">
        <v>25</v>
      </c>
      <c r="O59" s="264" t="s">
        <v>24</v>
      </c>
      <c r="P59" s="265" t="s">
        <v>23</v>
      </c>
    </row>
    <row r="60" spans="2:16" x14ac:dyDescent="0.4">
      <c r="C60" s="248" t="s">
        <v>75</v>
      </c>
      <c r="D60" s="291">
        <f>P60/$P$63</f>
        <v>5.7391056679008831E-2</v>
      </c>
      <c r="F60" s="263">
        <v>1</v>
      </c>
      <c r="G60" s="267">
        <v>0</v>
      </c>
      <c r="H60" s="268">
        <v>12</v>
      </c>
      <c r="I60" s="269">
        <v>21</v>
      </c>
      <c r="J60" s="269">
        <v>64</v>
      </c>
      <c r="K60" s="269">
        <v>68</v>
      </c>
      <c r="L60" s="269">
        <v>111</v>
      </c>
      <c r="M60" s="269">
        <v>96</v>
      </c>
      <c r="N60" s="270">
        <v>27</v>
      </c>
      <c r="O60" s="268">
        <v>4</v>
      </c>
      <c r="P60" s="271">
        <f>SUM(G60:O60)</f>
        <v>403</v>
      </c>
    </row>
    <row r="61" spans="2:16" x14ac:dyDescent="0.4">
      <c r="C61" s="248" t="s">
        <v>74</v>
      </c>
      <c r="D61" s="291">
        <f>P61/$P$63</f>
        <v>0.89048704072913698</v>
      </c>
      <c r="F61" s="263">
        <v>2</v>
      </c>
      <c r="G61" s="267">
        <v>16</v>
      </c>
      <c r="H61" s="268">
        <v>407</v>
      </c>
      <c r="I61" s="269">
        <v>613</v>
      </c>
      <c r="J61" s="269">
        <v>890</v>
      </c>
      <c r="K61" s="269">
        <v>932</v>
      </c>
      <c r="L61" s="269">
        <v>1213</v>
      </c>
      <c r="M61" s="269">
        <v>1639</v>
      </c>
      <c r="N61" s="270">
        <v>503</v>
      </c>
      <c r="O61" s="268">
        <v>40</v>
      </c>
      <c r="P61" s="271">
        <f t="shared" ref="P61:P63" si="13">SUM(G61:O61)</f>
        <v>6253</v>
      </c>
    </row>
    <row r="62" spans="2:16" x14ac:dyDescent="0.4">
      <c r="C62" s="292" t="s">
        <v>18</v>
      </c>
      <c r="D62" s="291">
        <f>P62/$P$63</f>
        <v>5.2121902591854175E-2</v>
      </c>
      <c r="F62" s="275" t="s">
        <v>18</v>
      </c>
      <c r="G62" s="267">
        <v>0</v>
      </c>
      <c r="H62" s="285">
        <v>7</v>
      </c>
      <c r="I62" s="286">
        <v>15</v>
      </c>
      <c r="J62" s="286">
        <v>20</v>
      </c>
      <c r="K62" s="286">
        <v>37</v>
      </c>
      <c r="L62" s="286">
        <v>91</v>
      </c>
      <c r="M62" s="286">
        <v>134</v>
      </c>
      <c r="N62" s="287">
        <v>60</v>
      </c>
      <c r="O62" s="268">
        <v>2</v>
      </c>
      <c r="P62" s="271">
        <f t="shared" si="13"/>
        <v>366</v>
      </c>
    </row>
    <row r="63" spans="2:16" x14ac:dyDescent="0.4">
      <c r="F63" s="288" t="s">
        <v>23</v>
      </c>
      <c r="G63" s="289">
        <f>SUM(G60:G62)</f>
        <v>16</v>
      </c>
      <c r="H63" s="289">
        <f>SUM(H60:H62)</f>
        <v>426</v>
      </c>
      <c r="I63" s="289">
        <f t="shared" ref="I63:O63" si="14">SUM(I60:I62)</f>
        <v>649</v>
      </c>
      <c r="J63" s="289">
        <f t="shared" si="14"/>
        <v>974</v>
      </c>
      <c r="K63" s="289">
        <f t="shared" si="14"/>
        <v>1037</v>
      </c>
      <c r="L63" s="289">
        <f t="shared" si="14"/>
        <v>1415</v>
      </c>
      <c r="M63" s="289">
        <f t="shared" si="14"/>
        <v>1869</v>
      </c>
      <c r="N63" s="289">
        <f t="shared" si="14"/>
        <v>590</v>
      </c>
      <c r="O63" s="289">
        <f t="shared" si="14"/>
        <v>46</v>
      </c>
      <c r="P63" s="271">
        <f t="shared" si="13"/>
        <v>7022</v>
      </c>
    </row>
    <row r="65" spans="2:16" x14ac:dyDescent="0.4">
      <c r="H65" s="253" t="s">
        <v>31</v>
      </c>
      <c r="I65" s="253" t="s">
        <v>30</v>
      </c>
      <c r="J65" s="253" t="s">
        <v>29</v>
      </c>
      <c r="K65" s="253" t="s">
        <v>28</v>
      </c>
      <c r="L65" s="253" t="s">
        <v>27</v>
      </c>
      <c r="M65" s="253" t="s">
        <v>26</v>
      </c>
      <c r="N65" s="253" t="s">
        <v>25</v>
      </c>
      <c r="O65" s="253" t="s">
        <v>63</v>
      </c>
    </row>
    <row r="66" spans="2:16" x14ac:dyDescent="0.4">
      <c r="B66" s="248" t="s">
        <v>54</v>
      </c>
      <c r="H66" s="290">
        <f>H60/H63</f>
        <v>2.8169014084507043E-2</v>
      </c>
      <c r="I66" s="290">
        <f>I60/I63</f>
        <v>3.2357473035439135E-2</v>
      </c>
      <c r="J66" s="290">
        <f t="shared" ref="J66:M66" si="15">J60/J63</f>
        <v>6.5708418891170434E-2</v>
      </c>
      <c r="K66" s="290">
        <f t="shared" si="15"/>
        <v>6.5573770491803282E-2</v>
      </c>
      <c r="L66" s="290">
        <f t="shared" si="15"/>
        <v>7.8445229681978798E-2</v>
      </c>
      <c r="M66" s="290">
        <f t="shared" si="15"/>
        <v>5.1364365971107544E-2</v>
      </c>
      <c r="N66" s="290">
        <f>N60/N63</f>
        <v>4.576271186440678E-2</v>
      </c>
      <c r="O66" s="290">
        <f>O60/O63</f>
        <v>8.6956521739130432E-2</v>
      </c>
    </row>
    <row r="67" spans="2:16" ht="13.5" customHeight="1" x14ac:dyDescent="0.4">
      <c r="B67" s="248" t="s">
        <v>73</v>
      </c>
    </row>
    <row r="68" spans="2:16" x14ac:dyDescent="0.4">
      <c r="D68" s="248" t="s">
        <v>72</v>
      </c>
    </row>
    <row r="69" spans="2:16" x14ac:dyDescent="0.4">
      <c r="C69" s="248" t="s">
        <v>71</v>
      </c>
    </row>
    <row r="70" spans="2:16" x14ac:dyDescent="0.4">
      <c r="G70" s="258" t="s">
        <v>218</v>
      </c>
      <c r="H70" s="253" t="s">
        <v>31</v>
      </c>
      <c r="I70" s="253" t="s">
        <v>30</v>
      </c>
      <c r="J70" s="253" t="s">
        <v>29</v>
      </c>
      <c r="K70" s="253" t="s">
        <v>28</v>
      </c>
      <c r="L70" s="253" t="s">
        <v>27</v>
      </c>
      <c r="M70" s="253" t="s">
        <v>26</v>
      </c>
      <c r="N70" s="253" t="s">
        <v>25</v>
      </c>
      <c r="O70" s="253" t="s">
        <v>63</v>
      </c>
      <c r="P70" s="253" t="s">
        <v>70</v>
      </c>
    </row>
    <row r="71" spans="2:16" x14ac:dyDescent="0.4">
      <c r="F71" s="253" t="s">
        <v>58</v>
      </c>
      <c r="G71" s="294">
        <v>16</v>
      </c>
      <c r="H71" s="295">
        <v>422</v>
      </c>
      <c r="I71" s="295">
        <v>642</v>
      </c>
      <c r="J71" s="295">
        <v>959</v>
      </c>
      <c r="K71" s="295">
        <v>1018</v>
      </c>
      <c r="L71" s="295">
        <v>1360</v>
      </c>
      <c r="M71" s="295">
        <v>1768</v>
      </c>
      <c r="N71" s="295">
        <v>532</v>
      </c>
      <c r="O71" s="295">
        <v>43</v>
      </c>
      <c r="P71" s="296">
        <f>SUM(H71:O71)</f>
        <v>6744</v>
      </c>
    </row>
    <row r="72" spans="2:16" x14ac:dyDescent="0.4">
      <c r="F72" s="253" t="s">
        <v>69</v>
      </c>
      <c r="G72" s="294">
        <v>0</v>
      </c>
      <c r="H72" s="295">
        <v>83</v>
      </c>
      <c r="I72" s="295">
        <v>121</v>
      </c>
      <c r="J72" s="295">
        <v>206</v>
      </c>
      <c r="K72" s="295">
        <v>213</v>
      </c>
      <c r="L72" s="295">
        <v>281</v>
      </c>
      <c r="M72" s="295">
        <v>251</v>
      </c>
      <c r="N72" s="295">
        <v>56</v>
      </c>
      <c r="O72" s="295">
        <v>5</v>
      </c>
      <c r="P72" s="296">
        <f>SUM(H72:O72)</f>
        <v>1216</v>
      </c>
    </row>
    <row r="73" spans="2:16" x14ac:dyDescent="0.4">
      <c r="F73" s="283" t="s">
        <v>68</v>
      </c>
      <c r="G73" s="297">
        <f>G72/G71</f>
        <v>0</v>
      </c>
      <c r="H73" s="297">
        <f>H72/H71</f>
        <v>0.19668246445497631</v>
      </c>
      <c r="I73" s="297">
        <f t="shared" ref="I73:O73" si="16">I72/I71</f>
        <v>0.18847352024922118</v>
      </c>
      <c r="J73" s="297">
        <f t="shared" si="16"/>
        <v>0.21480709071949947</v>
      </c>
      <c r="K73" s="297">
        <f t="shared" si="16"/>
        <v>0.20923379174852652</v>
      </c>
      <c r="L73" s="297">
        <f t="shared" si="16"/>
        <v>0.20661764705882352</v>
      </c>
      <c r="M73" s="297">
        <f t="shared" si="16"/>
        <v>0.1419683257918552</v>
      </c>
      <c r="N73" s="297">
        <f t="shared" si="16"/>
        <v>0.10526315789473684</v>
      </c>
      <c r="O73" s="297">
        <f t="shared" si="16"/>
        <v>0.11627906976744186</v>
      </c>
      <c r="P73" s="297">
        <f>P72/P71</f>
        <v>0.18030842230130487</v>
      </c>
    </row>
    <row r="75" spans="2:16" x14ac:dyDescent="0.4">
      <c r="B75" s="248" t="s">
        <v>67</v>
      </c>
      <c r="P75" s="256" t="s">
        <v>32</v>
      </c>
    </row>
    <row r="76" spans="2:16" ht="9" customHeight="1" x14ac:dyDescent="0.4">
      <c r="P76" s="256"/>
    </row>
    <row r="77" spans="2:16" x14ac:dyDescent="0.4">
      <c r="B77" s="293"/>
      <c r="D77" s="291"/>
      <c r="F77" s="262"/>
      <c r="G77" s="263" t="s">
        <v>218</v>
      </c>
      <c r="H77" s="264" t="s">
        <v>31</v>
      </c>
      <c r="I77" s="265" t="s">
        <v>30</v>
      </c>
      <c r="J77" s="265" t="s">
        <v>29</v>
      </c>
      <c r="K77" s="265" t="s">
        <v>28</v>
      </c>
      <c r="L77" s="265" t="s">
        <v>27</v>
      </c>
      <c r="M77" s="265" t="s">
        <v>26</v>
      </c>
      <c r="N77" s="266" t="s">
        <v>25</v>
      </c>
      <c r="O77" s="264" t="s">
        <v>24</v>
      </c>
      <c r="P77" s="265" t="s">
        <v>23</v>
      </c>
    </row>
    <row r="78" spans="2:16" x14ac:dyDescent="0.4">
      <c r="C78" s="298" t="s">
        <v>66</v>
      </c>
      <c r="D78" s="291"/>
      <c r="F78" s="263">
        <v>1</v>
      </c>
      <c r="G78" s="267">
        <v>16</v>
      </c>
      <c r="H78" s="268">
        <v>389</v>
      </c>
      <c r="I78" s="269">
        <v>569</v>
      </c>
      <c r="J78" s="269">
        <v>819</v>
      </c>
      <c r="K78" s="269">
        <v>784</v>
      </c>
      <c r="L78" s="269">
        <v>942</v>
      </c>
      <c r="M78" s="269">
        <v>1228</v>
      </c>
      <c r="N78" s="270">
        <v>403</v>
      </c>
      <c r="O78" s="268">
        <v>30</v>
      </c>
      <c r="P78" s="271">
        <f t="shared" ref="P78:P82" si="17">SUM(G78:O78)</f>
        <v>5180</v>
      </c>
    </row>
    <row r="79" spans="2:16" x14ac:dyDescent="0.4">
      <c r="C79" s="298" t="s">
        <v>65</v>
      </c>
      <c r="D79" s="291"/>
      <c r="F79" s="263">
        <v>2</v>
      </c>
      <c r="G79" s="267">
        <v>0</v>
      </c>
      <c r="H79" s="268">
        <v>37</v>
      </c>
      <c r="I79" s="269">
        <v>77</v>
      </c>
      <c r="J79" s="269">
        <v>145</v>
      </c>
      <c r="K79" s="269">
        <v>235</v>
      </c>
      <c r="L79" s="269">
        <v>426</v>
      </c>
      <c r="M79" s="269">
        <v>561</v>
      </c>
      <c r="N79" s="270">
        <v>157</v>
      </c>
      <c r="O79" s="268">
        <v>12</v>
      </c>
      <c r="P79" s="271">
        <f t="shared" si="17"/>
        <v>1650</v>
      </c>
    </row>
    <row r="80" spans="2:16" x14ac:dyDescent="0.4">
      <c r="C80" s="298" t="s">
        <v>64</v>
      </c>
      <c r="D80" s="291"/>
      <c r="F80" s="284">
        <v>3</v>
      </c>
      <c r="G80" s="267">
        <v>0</v>
      </c>
      <c r="H80" s="285">
        <v>0</v>
      </c>
      <c r="I80" s="286">
        <v>0</v>
      </c>
      <c r="J80" s="286">
        <v>1</v>
      </c>
      <c r="K80" s="286">
        <v>12</v>
      </c>
      <c r="L80" s="286">
        <v>17</v>
      </c>
      <c r="M80" s="286">
        <v>24</v>
      </c>
      <c r="N80" s="287">
        <v>5</v>
      </c>
      <c r="O80" s="268">
        <v>1</v>
      </c>
      <c r="P80" s="271">
        <f t="shared" si="17"/>
        <v>60</v>
      </c>
    </row>
    <row r="81" spans="2:16" x14ac:dyDescent="0.4">
      <c r="C81" s="292" t="s">
        <v>18</v>
      </c>
      <c r="D81" s="291"/>
      <c r="F81" s="275" t="s">
        <v>18</v>
      </c>
      <c r="G81" s="267">
        <v>0</v>
      </c>
      <c r="H81" s="285">
        <v>0</v>
      </c>
      <c r="I81" s="286">
        <v>3</v>
      </c>
      <c r="J81" s="286">
        <v>9</v>
      </c>
      <c r="K81" s="286">
        <v>6</v>
      </c>
      <c r="L81" s="286">
        <v>30</v>
      </c>
      <c r="M81" s="286">
        <v>56</v>
      </c>
      <c r="N81" s="287">
        <v>25</v>
      </c>
      <c r="O81" s="268">
        <v>3</v>
      </c>
      <c r="P81" s="271">
        <f t="shared" si="17"/>
        <v>132</v>
      </c>
    </row>
    <row r="82" spans="2:16" x14ac:dyDescent="0.4">
      <c r="D82" s="255"/>
      <c r="F82" s="288" t="s">
        <v>23</v>
      </c>
      <c r="G82" s="289">
        <f>SUM(G78:G81)</f>
        <v>16</v>
      </c>
      <c r="H82" s="289">
        <f>SUM(H78:H81)</f>
        <v>426</v>
      </c>
      <c r="I82" s="289">
        <f t="shared" ref="I82:O82" si="18">SUM(I78:I81)</f>
        <v>649</v>
      </c>
      <c r="J82" s="289">
        <f t="shared" si="18"/>
        <v>974</v>
      </c>
      <c r="K82" s="289">
        <f t="shared" si="18"/>
        <v>1037</v>
      </c>
      <c r="L82" s="289">
        <f t="shared" si="18"/>
        <v>1415</v>
      </c>
      <c r="M82" s="289">
        <f t="shared" si="18"/>
        <v>1869</v>
      </c>
      <c r="N82" s="289">
        <f t="shared" si="18"/>
        <v>590</v>
      </c>
      <c r="O82" s="289">
        <f t="shared" si="18"/>
        <v>46</v>
      </c>
      <c r="P82" s="271">
        <f t="shared" si="17"/>
        <v>7022</v>
      </c>
    </row>
    <row r="83" spans="2:16" x14ac:dyDescent="0.4">
      <c r="C83" s="293" t="s">
        <v>22</v>
      </c>
      <c r="D83" s="255"/>
      <c r="F83" s="258"/>
      <c r="G83" s="258"/>
      <c r="H83" s="299"/>
      <c r="I83" s="299"/>
      <c r="J83" s="299"/>
      <c r="K83" s="299"/>
      <c r="L83" s="299"/>
      <c r="M83" s="299"/>
      <c r="N83" s="299"/>
      <c r="O83" s="299"/>
      <c r="P83" s="299"/>
    </row>
    <row r="84" spans="2:16" x14ac:dyDescent="0.4">
      <c r="C84" s="298" t="s">
        <v>66</v>
      </c>
      <c r="D84" s="255"/>
      <c r="F84" s="300">
        <f>P78/$P$82</f>
        <v>0.73768157220165198</v>
      </c>
      <c r="G84" s="301"/>
      <c r="H84" s="299"/>
      <c r="I84" s="299"/>
      <c r="J84" s="299"/>
      <c r="K84" s="299"/>
      <c r="L84" s="299"/>
      <c r="M84" s="299"/>
      <c r="N84" s="299"/>
      <c r="O84" s="299"/>
      <c r="P84" s="299"/>
    </row>
    <row r="85" spans="2:16" x14ac:dyDescent="0.4">
      <c r="C85" s="298" t="s">
        <v>65</v>
      </c>
      <c r="D85" s="255"/>
      <c r="F85" s="300">
        <f>P79/$P$82</f>
        <v>0.23497579037311309</v>
      </c>
      <c r="G85" s="301"/>
      <c r="H85" s="299"/>
      <c r="I85" s="299"/>
      <c r="J85" s="299"/>
      <c r="K85" s="299"/>
      <c r="L85" s="299"/>
      <c r="M85" s="299"/>
      <c r="N85" s="299"/>
      <c r="O85" s="299"/>
      <c r="P85" s="299"/>
    </row>
    <row r="86" spans="2:16" x14ac:dyDescent="0.4">
      <c r="C86" s="298" t="s">
        <v>64</v>
      </c>
      <c r="D86" s="255"/>
      <c r="F86" s="300">
        <f>P80/$P$82</f>
        <v>8.5445741953859306E-3</v>
      </c>
      <c r="G86" s="301"/>
      <c r="H86" s="299"/>
      <c r="I86" s="299"/>
      <c r="J86" s="299"/>
      <c r="K86" s="299"/>
      <c r="L86" s="299"/>
      <c r="M86" s="299"/>
      <c r="N86" s="299"/>
      <c r="O86" s="299"/>
      <c r="P86" s="299"/>
    </row>
    <row r="87" spans="2:16" x14ac:dyDescent="0.4">
      <c r="C87" s="292" t="s">
        <v>18</v>
      </c>
      <c r="D87" s="255"/>
      <c r="F87" s="300">
        <f>P81/$P$82</f>
        <v>1.8798063229849046E-2</v>
      </c>
      <c r="G87" s="301"/>
      <c r="H87" s="299"/>
      <c r="I87" s="299"/>
      <c r="J87" s="299"/>
      <c r="K87" s="299"/>
      <c r="L87" s="299"/>
      <c r="M87" s="299"/>
      <c r="N87" s="299"/>
      <c r="O87" s="299"/>
      <c r="P87" s="299"/>
    </row>
    <row r="89" spans="2:16" x14ac:dyDescent="0.4">
      <c r="B89" s="248" t="s">
        <v>54</v>
      </c>
      <c r="G89" s="253" t="s">
        <v>218</v>
      </c>
      <c r="H89" s="253" t="s">
        <v>31</v>
      </c>
      <c r="I89" s="253" t="s">
        <v>30</v>
      </c>
      <c r="J89" s="253" t="s">
        <v>29</v>
      </c>
      <c r="K89" s="253" t="s">
        <v>28</v>
      </c>
      <c r="L89" s="253" t="s">
        <v>27</v>
      </c>
      <c r="M89" s="253" t="s">
        <v>26</v>
      </c>
      <c r="N89" s="253" t="s">
        <v>25</v>
      </c>
      <c r="O89" s="253" t="s">
        <v>63</v>
      </c>
    </row>
    <row r="90" spans="2:16" x14ac:dyDescent="0.4">
      <c r="B90" s="248" t="s">
        <v>62</v>
      </c>
      <c r="G90" s="290">
        <f>G78/G82</f>
        <v>1</v>
      </c>
      <c r="H90" s="290">
        <f>H78/H82</f>
        <v>0.91314553990610325</v>
      </c>
      <c r="I90" s="290">
        <f t="shared" ref="I90:O90" si="19">I78/I82</f>
        <v>0.87673343605546994</v>
      </c>
      <c r="J90" s="290">
        <f t="shared" si="19"/>
        <v>0.84086242299794656</v>
      </c>
      <c r="K90" s="290">
        <f t="shared" si="19"/>
        <v>0.75602700096432018</v>
      </c>
      <c r="L90" s="290">
        <f t="shared" si="19"/>
        <v>0.66572438162544167</v>
      </c>
      <c r="M90" s="290">
        <f t="shared" si="19"/>
        <v>0.65703584804708404</v>
      </c>
      <c r="N90" s="290">
        <f t="shared" si="19"/>
        <v>0.68305084745762712</v>
      </c>
      <c r="O90" s="290">
        <f t="shared" si="19"/>
        <v>0.65217391304347827</v>
      </c>
    </row>
    <row r="91" spans="2:16" x14ac:dyDescent="0.4">
      <c r="D91" s="248" t="s">
        <v>61</v>
      </c>
    </row>
    <row r="93" spans="2:16" ht="14.25" customHeight="1" x14ac:dyDescent="0.4">
      <c r="B93" s="248" t="s">
        <v>60</v>
      </c>
      <c r="P93" s="256" t="s">
        <v>59</v>
      </c>
    </row>
    <row r="94" spans="2:16" ht="9" customHeight="1" x14ac:dyDescent="0.4"/>
    <row r="95" spans="2:16" ht="14.25" customHeight="1" x14ac:dyDescent="0.4">
      <c r="F95" s="262"/>
      <c r="G95" s="263" t="s">
        <v>218</v>
      </c>
      <c r="H95" s="264" t="s">
        <v>31</v>
      </c>
      <c r="I95" s="265" t="s">
        <v>30</v>
      </c>
      <c r="J95" s="265" t="s">
        <v>29</v>
      </c>
      <c r="K95" s="265" t="s">
        <v>28</v>
      </c>
      <c r="L95" s="265" t="s">
        <v>27</v>
      </c>
      <c r="M95" s="265" t="s">
        <v>26</v>
      </c>
      <c r="N95" s="266" t="s">
        <v>25</v>
      </c>
      <c r="O95" s="264" t="s">
        <v>24</v>
      </c>
      <c r="P95" s="265" t="s">
        <v>23</v>
      </c>
    </row>
    <row r="96" spans="2:16" x14ac:dyDescent="0.4">
      <c r="F96" s="302" t="s">
        <v>58</v>
      </c>
      <c r="G96" s="267">
        <v>16</v>
      </c>
      <c r="H96" s="268">
        <v>401</v>
      </c>
      <c r="I96" s="269">
        <v>608</v>
      </c>
      <c r="J96" s="269">
        <v>921</v>
      </c>
      <c r="K96" s="269">
        <v>984</v>
      </c>
      <c r="L96" s="269">
        <v>1320</v>
      </c>
      <c r="M96" s="269">
        <v>1727</v>
      </c>
      <c r="N96" s="270">
        <v>525</v>
      </c>
      <c r="O96" s="268">
        <v>40</v>
      </c>
      <c r="P96" s="271">
        <f t="shared" ref="P96:P98" si="20">SUM(G96:O96)</f>
        <v>6542</v>
      </c>
    </row>
    <row r="97" spans="2:16" x14ac:dyDescent="0.4">
      <c r="F97" s="275" t="s">
        <v>18</v>
      </c>
      <c r="G97" s="267">
        <v>0</v>
      </c>
      <c r="H97" s="303">
        <v>25</v>
      </c>
      <c r="I97" s="304">
        <v>41</v>
      </c>
      <c r="J97" s="304">
        <v>53</v>
      </c>
      <c r="K97" s="304">
        <v>53</v>
      </c>
      <c r="L97" s="304">
        <v>95</v>
      </c>
      <c r="M97" s="304">
        <v>142</v>
      </c>
      <c r="N97" s="305">
        <v>65</v>
      </c>
      <c r="O97" s="303">
        <v>6</v>
      </c>
      <c r="P97" s="271">
        <f t="shared" si="20"/>
        <v>480</v>
      </c>
    </row>
    <row r="98" spans="2:16" x14ac:dyDescent="0.4">
      <c r="F98" s="288" t="s">
        <v>23</v>
      </c>
      <c r="G98" s="306">
        <f>SUM(G96:G97)</f>
        <v>16</v>
      </c>
      <c r="H98" s="306">
        <f>SUM(H96:H97)</f>
        <v>426</v>
      </c>
      <c r="I98" s="306">
        <f t="shared" ref="I98:N98" si="21">SUM(I96:I97)</f>
        <v>649</v>
      </c>
      <c r="J98" s="306">
        <f t="shared" si="21"/>
        <v>974</v>
      </c>
      <c r="K98" s="306">
        <f t="shared" si="21"/>
        <v>1037</v>
      </c>
      <c r="L98" s="306">
        <f t="shared" si="21"/>
        <v>1415</v>
      </c>
      <c r="M98" s="306">
        <f t="shared" si="21"/>
        <v>1869</v>
      </c>
      <c r="N98" s="306">
        <f t="shared" si="21"/>
        <v>590</v>
      </c>
      <c r="O98" s="306">
        <f>SUM(O96:O97)</f>
        <v>46</v>
      </c>
      <c r="P98" s="271">
        <f t="shared" si="20"/>
        <v>7022</v>
      </c>
    </row>
    <row r="99" spans="2:16" x14ac:dyDescent="0.4">
      <c r="F99" s="302" t="s">
        <v>57</v>
      </c>
      <c r="G99" s="267">
        <v>28</v>
      </c>
      <c r="H99" s="268">
        <v>17</v>
      </c>
      <c r="I99" s="269">
        <v>6</v>
      </c>
      <c r="J99" s="269">
        <v>5</v>
      </c>
      <c r="K99" s="269">
        <v>0</v>
      </c>
      <c r="L99" s="269">
        <v>0</v>
      </c>
      <c r="M99" s="269">
        <v>0</v>
      </c>
      <c r="N99" s="270">
        <v>0</v>
      </c>
      <c r="O99" s="268">
        <v>0</v>
      </c>
      <c r="P99" s="307"/>
    </row>
    <row r="100" spans="2:16" x14ac:dyDescent="0.4">
      <c r="F100" s="308" t="s">
        <v>56</v>
      </c>
      <c r="G100" s="267">
        <v>28</v>
      </c>
      <c r="H100" s="285">
        <v>32</v>
      </c>
      <c r="I100" s="286">
        <v>32</v>
      </c>
      <c r="J100" s="286">
        <v>32</v>
      </c>
      <c r="K100" s="286">
        <v>29</v>
      </c>
      <c r="L100" s="286">
        <v>31</v>
      </c>
      <c r="M100" s="286">
        <v>30</v>
      </c>
      <c r="N100" s="287">
        <v>32</v>
      </c>
      <c r="O100" s="268">
        <v>28</v>
      </c>
      <c r="P100" s="309"/>
    </row>
    <row r="101" spans="2:16" x14ac:dyDescent="0.4">
      <c r="F101" s="308" t="s">
        <v>55</v>
      </c>
      <c r="G101" s="310">
        <v>28</v>
      </c>
      <c r="H101" s="310">
        <v>27.635910224438902</v>
      </c>
      <c r="I101" s="311">
        <v>27.393092105263158</v>
      </c>
      <c r="J101" s="311">
        <v>26.625407166123779</v>
      </c>
      <c r="K101" s="311">
        <v>24.351626016260163</v>
      </c>
      <c r="L101" s="311">
        <v>20.249242424242425</v>
      </c>
      <c r="M101" s="311">
        <v>17.005211349160394</v>
      </c>
      <c r="N101" s="312">
        <v>12.571428571428571</v>
      </c>
      <c r="O101" s="313">
        <v>6.625</v>
      </c>
      <c r="P101" s="309"/>
    </row>
    <row r="102" spans="2:16" x14ac:dyDescent="0.4">
      <c r="B102" s="248" t="s">
        <v>54</v>
      </c>
    </row>
    <row r="103" spans="2:16" x14ac:dyDescent="0.4">
      <c r="B103" s="248" t="s">
        <v>53</v>
      </c>
    </row>
    <row r="104" spans="2:16" x14ac:dyDescent="0.4">
      <c r="D104" s="248" t="s">
        <v>52</v>
      </c>
      <c r="H104" s="248" t="s">
        <v>51</v>
      </c>
      <c r="K104" s="248" t="s">
        <v>50</v>
      </c>
    </row>
    <row r="105" spans="2:16" x14ac:dyDescent="0.4">
      <c r="B105" s="248" t="s">
        <v>49</v>
      </c>
      <c r="H105" s="248" t="s">
        <v>48</v>
      </c>
      <c r="I105" s="314">
        <v>1050</v>
      </c>
      <c r="K105" s="248" t="s">
        <v>48</v>
      </c>
      <c r="L105" s="314">
        <v>1057</v>
      </c>
    </row>
    <row r="106" spans="2:16" x14ac:dyDescent="0.4">
      <c r="D106" s="248" t="s">
        <v>47</v>
      </c>
      <c r="H106" s="248" t="s">
        <v>46</v>
      </c>
      <c r="I106" s="295">
        <v>23724</v>
      </c>
      <c r="K106" s="248" t="s">
        <v>46</v>
      </c>
      <c r="L106" s="295">
        <v>15717</v>
      </c>
    </row>
    <row r="107" spans="2:16" x14ac:dyDescent="0.4">
      <c r="H107" s="248" t="s">
        <v>45</v>
      </c>
      <c r="I107" s="315">
        <v>22.594285714285714</v>
      </c>
      <c r="K107" s="248" t="s">
        <v>45</v>
      </c>
      <c r="L107" s="315">
        <v>14.869441816461684</v>
      </c>
    </row>
    <row r="108" spans="2:16" x14ac:dyDescent="0.4">
      <c r="H108" s="248" t="s">
        <v>44</v>
      </c>
      <c r="I108" s="314">
        <v>656</v>
      </c>
      <c r="K108" s="248" t="s">
        <v>44</v>
      </c>
      <c r="L108" s="314">
        <v>437</v>
      </c>
    </row>
    <row r="109" spans="2:16" x14ac:dyDescent="0.4">
      <c r="H109" s="248" t="s">
        <v>43</v>
      </c>
      <c r="I109" s="316">
        <f>I108/I105*100</f>
        <v>62.476190476190474</v>
      </c>
      <c r="K109" s="248" t="s">
        <v>43</v>
      </c>
      <c r="L109" s="316">
        <f>L108/L105*100</f>
        <v>41.343424787133401</v>
      </c>
    </row>
    <row r="110" spans="2:16" x14ac:dyDescent="0.4">
      <c r="H110" s="317"/>
      <c r="K110" s="317"/>
    </row>
    <row r="111" spans="2:16" x14ac:dyDescent="0.4">
      <c r="H111" s="317"/>
      <c r="K111" s="317"/>
    </row>
    <row r="112" spans="2:16" x14ac:dyDescent="0.4">
      <c r="B112" s="248" t="s">
        <v>42</v>
      </c>
      <c r="P112" s="256" t="s">
        <v>32</v>
      </c>
    </row>
    <row r="113" spans="2:17" ht="9" customHeight="1" x14ac:dyDescent="0.4">
      <c r="P113" s="256"/>
    </row>
    <row r="114" spans="2:17" x14ac:dyDescent="0.4">
      <c r="F114" s="262"/>
      <c r="G114" s="263" t="s">
        <v>218</v>
      </c>
      <c r="H114" s="264" t="s">
        <v>31</v>
      </c>
      <c r="I114" s="265" t="s">
        <v>30</v>
      </c>
      <c r="J114" s="265" t="s">
        <v>29</v>
      </c>
      <c r="K114" s="265" t="s">
        <v>28</v>
      </c>
      <c r="L114" s="265" t="s">
        <v>27</v>
      </c>
      <c r="M114" s="265" t="s">
        <v>26</v>
      </c>
      <c r="N114" s="266" t="s">
        <v>25</v>
      </c>
      <c r="O114" s="264" t="s">
        <v>24</v>
      </c>
      <c r="P114" s="265" t="s">
        <v>23</v>
      </c>
    </row>
    <row r="115" spans="2:17" x14ac:dyDescent="0.4">
      <c r="C115" s="248" t="s">
        <v>38</v>
      </c>
      <c r="F115" s="263">
        <v>1</v>
      </c>
      <c r="G115" s="267">
        <v>0</v>
      </c>
      <c r="H115" s="268">
        <v>89</v>
      </c>
      <c r="I115" s="269">
        <v>129</v>
      </c>
      <c r="J115" s="269">
        <v>226</v>
      </c>
      <c r="K115" s="269">
        <v>238</v>
      </c>
      <c r="L115" s="269">
        <v>197</v>
      </c>
      <c r="M115" s="269">
        <v>146</v>
      </c>
      <c r="N115" s="270">
        <v>21</v>
      </c>
      <c r="O115" s="268">
        <v>0</v>
      </c>
      <c r="P115" s="271">
        <f t="shared" ref="P115:P119" si="22">SUM(G115:O115)</f>
        <v>1046</v>
      </c>
    </row>
    <row r="116" spans="2:17" x14ac:dyDescent="0.4">
      <c r="C116" s="248" t="s">
        <v>41</v>
      </c>
      <c r="F116" s="263">
        <v>2</v>
      </c>
      <c r="G116" s="267">
        <v>0</v>
      </c>
      <c r="H116" s="268">
        <v>33</v>
      </c>
      <c r="I116" s="269">
        <v>117</v>
      </c>
      <c r="J116" s="269">
        <v>286</v>
      </c>
      <c r="K116" s="269">
        <v>299</v>
      </c>
      <c r="L116" s="269">
        <v>461</v>
      </c>
      <c r="M116" s="269">
        <v>616</v>
      </c>
      <c r="N116" s="270">
        <v>154</v>
      </c>
      <c r="O116" s="268">
        <v>6</v>
      </c>
      <c r="P116" s="271">
        <f t="shared" si="22"/>
        <v>1972</v>
      </c>
    </row>
    <row r="117" spans="2:17" x14ac:dyDescent="0.4">
      <c r="C117" s="248" t="s">
        <v>40</v>
      </c>
      <c r="F117" s="263">
        <v>3</v>
      </c>
      <c r="G117" s="267">
        <v>16</v>
      </c>
      <c r="H117" s="268">
        <v>299</v>
      </c>
      <c r="I117" s="269">
        <v>397</v>
      </c>
      <c r="J117" s="269">
        <v>444</v>
      </c>
      <c r="K117" s="269">
        <v>452</v>
      </c>
      <c r="L117" s="269">
        <v>678</v>
      </c>
      <c r="M117" s="269">
        <v>1017</v>
      </c>
      <c r="N117" s="270">
        <v>379</v>
      </c>
      <c r="O117" s="268">
        <v>40</v>
      </c>
      <c r="P117" s="271">
        <f t="shared" si="22"/>
        <v>3722</v>
      </c>
    </row>
    <row r="118" spans="2:17" x14ac:dyDescent="0.4">
      <c r="F118" s="275" t="s">
        <v>18</v>
      </c>
      <c r="G118" s="267">
        <v>0</v>
      </c>
      <c r="H118" s="285">
        <v>5</v>
      </c>
      <c r="I118" s="286">
        <v>6</v>
      </c>
      <c r="J118" s="286">
        <v>18</v>
      </c>
      <c r="K118" s="286">
        <v>48</v>
      </c>
      <c r="L118" s="286">
        <v>79</v>
      </c>
      <c r="M118" s="286">
        <v>90</v>
      </c>
      <c r="N118" s="287">
        <v>36</v>
      </c>
      <c r="O118" s="268">
        <v>0</v>
      </c>
      <c r="P118" s="271">
        <f t="shared" si="22"/>
        <v>282</v>
      </c>
    </row>
    <row r="119" spans="2:17" x14ac:dyDescent="0.4">
      <c r="F119" s="288" t="s">
        <v>23</v>
      </c>
      <c r="G119" s="289">
        <f>SUM(G115:G118)</f>
        <v>16</v>
      </c>
      <c r="H119" s="289">
        <f>SUM(H115:H118)</f>
        <v>426</v>
      </c>
      <c r="I119" s="289">
        <f t="shared" ref="I119:O119" si="23">SUM(I115:I118)</f>
        <v>649</v>
      </c>
      <c r="J119" s="289">
        <f t="shared" si="23"/>
        <v>974</v>
      </c>
      <c r="K119" s="289">
        <f t="shared" si="23"/>
        <v>1037</v>
      </c>
      <c r="L119" s="289">
        <f t="shared" si="23"/>
        <v>1415</v>
      </c>
      <c r="M119" s="289">
        <f t="shared" si="23"/>
        <v>1869</v>
      </c>
      <c r="N119" s="289">
        <f t="shared" si="23"/>
        <v>590</v>
      </c>
      <c r="O119" s="289">
        <f t="shared" si="23"/>
        <v>46</v>
      </c>
      <c r="P119" s="271">
        <f t="shared" si="22"/>
        <v>7022</v>
      </c>
    </row>
    <row r="120" spans="2:17" x14ac:dyDescent="0.4">
      <c r="C120" s="248" t="s">
        <v>22</v>
      </c>
      <c r="F120" s="318" t="s">
        <v>39</v>
      </c>
      <c r="G120" s="278">
        <f>G115/G119</f>
        <v>0</v>
      </c>
      <c r="H120" s="278">
        <f>H115/H119</f>
        <v>0.20892018779342722</v>
      </c>
      <c r="I120" s="278">
        <f>I115/I119</f>
        <v>0.19876733436055469</v>
      </c>
      <c r="J120" s="278">
        <f>J115/J119</f>
        <v>0.23203285420944558</v>
      </c>
      <c r="K120" s="278">
        <f t="shared" ref="K120:N120" si="24">K115/K119</f>
        <v>0.22950819672131148</v>
      </c>
      <c r="L120" s="278">
        <f t="shared" si="24"/>
        <v>0.13922261484098941</v>
      </c>
      <c r="M120" s="278">
        <f t="shared" si="24"/>
        <v>7.811663991439273E-2</v>
      </c>
      <c r="N120" s="278">
        <f t="shared" si="24"/>
        <v>3.5593220338983052E-2</v>
      </c>
      <c r="O120" s="278">
        <f>O115/O119</f>
        <v>0</v>
      </c>
      <c r="P120" s="319"/>
      <c r="Q120" s="274"/>
    </row>
    <row r="121" spans="2:17" x14ac:dyDescent="0.4">
      <c r="C121" s="248" t="s">
        <v>38</v>
      </c>
      <c r="D121" s="291">
        <f>P115/$P$119</f>
        <v>0.14896041013956138</v>
      </c>
      <c r="J121" s="282"/>
    </row>
    <row r="122" spans="2:17" x14ac:dyDescent="0.4">
      <c r="C122" s="293" t="s">
        <v>37</v>
      </c>
      <c r="D122" s="291">
        <f>P116/$P$119</f>
        <v>0.2808316718883509</v>
      </c>
    </row>
    <row r="123" spans="2:17" x14ac:dyDescent="0.4">
      <c r="C123" s="248" t="s">
        <v>36</v>
      </c>
      <c r="D123" s="291">
        <f>P117/$P$119</f>
        <v>0.53004841925377388</v>
      </c>
      <c r="K123" s="274"/>
    </row>
    <row r="124" spans="2:17" x14ac:dyDescent="0.4">
      <c r="C124" s="292" t="s">
        <v>18</v>
      </c>
      <c r="D124" s="291">
        <f>P118/$P$119</f>
        <v>4.0159498718313869E-2</v>
      </c>
    </row>
    <row r="126" spans="2:17" x14ac:dyDescent="0.4">
      <c r="B126" s="248" t="s">
        <v>35</v>
      </c>
      <c r="P126" s="256" t="s">
        <v>32</v>
      </c>
    </row>
    <row r="127" spans="2:17" ht="9" customHeight="1" x14ac:dyDescent="0.4"/>
    <row r="128" spans="2:17" x14ac:dyDescent="0.4">
      <c r="F128" s="262"/>
      <c r="G128" s="263" t="s">
        <v>218</v>
      </c>
      <c r="H128" s="264" t="s">
        <v>31</v>
      </c>
      <c r="I128" s="265" t="s">
        <v>30</v>
      </c>
      <c r="J128" s="265" t="s">
        <v>29</v>
      </c>
      <c r="K128" s="265" t="s">
        <v>28</v>
      </c>
      <c r="L128" s="265" t="s">
        <v>27</v>
      </c>
      <c r="M128" s="265" t="s">
        <v>26</v>
      </c>
      <c r="N128" s="266" t="s">
        <v>25</v>
      </c>
      <c r="O128" s="264" t="s">
        <v>24</v>
      </c>
      <c r="P128" s="265" t="s">
        <v>23</v>
      </c>
    </row>
    <row r="129" spans="2:16" x14ac:dyDescent="0.4">
      <c r="C129" s="248" t="s">
        <v>21</v>
      </c>
      <c r="F129" s="263">
        <v>1</v>
      </c>
      <c r="G129" s="267">
        <v>14</v>
      </c>
      <c r="H129" s="268">
        <v>234</v>
      </c>
      <c r="I129" s="269">
        <v>383</v>
      </c>
      <c r="J129" s="269">
        <v>408</v>
      </c>
      <c r="K129" s="269">
        <v>383</v>
      </c>
      <c r="L129" s="269">
        <v>480</v>
      </c>
      <c r="M129" s="269">
        <v>731</v>
      </c>
      <c r="N129" s="270">
        <v>262</v>
      </c>
      <c r="O129" s="268">
        <v>22</v>
      </c>
      <c r="P129" s="271">
        <f t="shared" ref="P129:P133" si="25">SUM(G129:O129)</f>
        <v>2917</v>
      </c>
    </row>
    <row r="130" spans="2:16" x14ac:dyDescent="0.4">
      <c r="C130" s="248" t="s">
        <v>20</v>
      </c>
      <c r="F130" s="263">
        <v>2</v>
      </c>
      <c r="G130" s="267">
        <v>2</v>
      </c>
      <c r="H130" s="268">
        <v>97</v>
      </c>
      <c r="I130" s="269">
        <v>97</v>
      </c>
      <c r="J130" s="269">
        <v>201</v>
      </c>
      <c r="K130" s="269">
        <v>199</v>
      </c>
      <c r="L130" s="269">
        <v>247</v>
      </c>
      <c r="M130" s="269">
        <v>323</v>
      </c>
      <c r="N130" s="270">
        <v>86</v>
      </c>
      <c r="O130" s="268">
        <v>6</v>
      </c>
      <c r="P130" s="271">
        <f t="shared" si="25"/>
        <v>1258</v>
      </c>
    </row>
    <row r="131" spans="2:16" x14ac:dyDescent="0.4">
      <c r="C131" s="248" t="s">
        <v>19</v>
      </c>
      <c r="F131" s="284">
        <v>3</v>
      </c>
      <c r="G131" s="267">
        <v>0</v>
      </c>
      <c r="H131" s="285">
        <v>90</v>
      </c>
      <c r="I131" s="286">
        <v>151</v>
      </c>
      <c r="J131" s="286">
        <v>325</v>
      </c>
      <c r="K131" s="286">
        <v>369</v>
      </c>
      <c r="L131" s="286">
        <v>555</v>
      </c>
      <c r="M131" s="286">
        <v>650</v>
      </c>
      <c r="N131" s="287">
        <v>159</v>
      </c>
      <c r="O131" s="268">
        <v>11</v>
      </c>
      <c r="P131" s="271">
        <f t="shared" si="25"/>
        <v>2310</v>
      </c>
    </row>
    <row r="132" spans="2:16" x14ac:dyDescent="0.4">
      <c r="F132" s="275" t="s">
        <v>18</v>
      </c>
      <c r="G132" s="267">
        <v>0</v>
      </c>
      <c r="H132" s="285">
        <v>5</v>
      </c>
      <c r="I132" s="286">
        <v>18</v>
      </c>
      <c r="J132" s="286">
        <v>40</v>
      </c>
      <c r="K132" s="286">
        <v>86</v>
      </c>
      <c r="L132" s="286">
        <v>133</v>
      </c>
      <c r="M132" s="286">
        <v>165</v>
      </c>
      <c r="N132" s="287">
        <v>83</v>
      </c>
      <c r="O132" s="268">
        <v>7</v>
      </c>
      <c r="P132" s="271">
        <f t="shared" si="25"/>
        <v>537</v>
      </c>
    </row>
    <row r="133" spans="2:16" x14ac:dyDescent="0.4">
      <c r="F133" s="288" t="s">
        <v>23</v>
      </c>
      <c r="G133" s="289">
        <f>SUM(G129:G132)</f>
        <v>16</v>
      </c>
      <c r="H133" s="289">
        <f>SUM(H129:H132)</f>
        <v>426</v>
      </c>
      <c r="I133" s="289">
        <f t="shared" ref="I133:O133" si="26">SUM(I129:I132)</f>
        <v>649</v>
      </c>
      <c r="J133" s="289">
        <f t="shared" si="26"/>
        <v>974</v>
      </c>
      <c r="K133" s="289">
        <f t="shared" si="26"/>
        <v>1037</v>
      </c>
      <c r="L133" s="289">
        <f t="shared" si="26"/>
        <v>1415</v>
      </c>
      <c r="M133" s="289">
        <f t="shared" si="26"/>
        <v>1869</v>
      </c>
      <c r="N133" s="289">
        <f t="shared" si="26"/>
        <v>590</v>
      </c>
      <c r="O133" s="289">
        <f t="shared" si="26"/>
        <v>46</v>
      </c>
      <c r="P133" s="271">
        <f t="shared" si="25"/>
        <v>7022</v>
      </c>
    </row>
    <row r="134" spans="2:16" x14ac:dyDescent="0.4">
      <c r="C134" s="248" t="s">
        <v>22</v>
      </c>
    </row>
    <row r="135" spans="2:16" x14ac:dyDescent="0.4">
      <c r="C135" s="248" t="s">
        <v>21</v>
      </c>
      <c r="E135" s="291">
        <f>P129/$P$133</f>
        <v>0.41540871546567931</v>
      </c>
    </row>
    <row r="136" spans="2:16" x14ac:dyDescent="0.4">
      <c r="C136" s="248" t="s">
        <v>20</v>
      </c>
      <c r="E136" s="291">
        <f>P130/$P$133</f>
        <v>0.17915123896325832</v>
      </c>
    </row>
    <row r="137" spans="2:16" x14ac:dyDescent="0.4">
      <c r="C137" s="248" t="s">
        <v>19</v>
      </c>
      <c r="E137" s="291">
        <f>P131/$P$133</f>
        <v>0.3289661065223583</v>
      </c>
    </row>
    <row r="138" spans="2:16" x14ac:dyDescent="0.4">
      <c r="C138" s="292" t="s">
        <v>18</v>
      </c>
      <c r="D138" s="292"/>
      <c r="E138" s="291">
        <f>P132/$P$133</f>
        <v>7.6473939048704073E-2</v>
      </c>
    </row>
    <row r="140" spans="2:16" x14ac:dyDescent="0.4">
      <c r="B140" s="248" t="s">
        <v>34</v>
      </c>
      <c r="P140" s="256" t="s">
        <v>32</v>
      </c>
    </row>
    <row r="141" spans="2:16" ht="9" customHeight="1" x14ac:dyDescent="0.4"/>
    <row r="142" spans="2:16" x14ac:dyDescent="0.4">
      <c r="F142" s="262"/>
      <c r="G142" s="263" t="s">
        <v>218</v>
      </c>
      <c r="H142" s="264" t="s">
        <v>31</v>
      </c>
      <c r="I142" s="265" t="s">
        <v>30</v>
      </c>
      <c r="J142" s="265" t="s">
        <v>29</v>
      </c>
      <c r="K142" s="265" t="s">
        <v>28</v>
      </c>
      <c r="L142" s="265" t="s">
        <v>27</v>
      </c>
      <c r="M142" s="265" t="s">
        <v>26</v>
      </c>
      <c r="N142" s="266" t="s">
        <v>25</v>
      </c>
      <c r="O142" s="264" t="s">
        <v>24</v>
      </c>
      <c r="P142" s="265" t="s">
        <v>23</v>
      </c>
    </row>
    <row r="143" spans="2:16" x14ac:dyDescent="0.4">
      <c r="C143" s="248" t="s">
        <v>21</v>
      </c>
      <c r="F143" s="263">
        <v>1</v>
      </c>
      <c r="G143" s="267">
        <v>15</v>
      </c>
      <c r="H143" s="268">
        <v>318</v>
      </c>
      <c r="I143" s="269">
        <v>513</v>
      </c>
      <c r="J143" s="269">
        <v>689</v>
      </c>
      <c r="K143" s="269">
        <v>673</v>
      </c>
      <c r="L143" s="269">
        <v>870</v>
      </c>
      <c r="M143" s="269">
        <v>1098</v>
      </c>
      <c r="N143" s="270">
        <v>325</v>
      </c>
      <c r="O143" s="268">
        <v>25</v>
      </c>
      <c r="P143" s="271">
        <f t="shared" ref="P143:P146" si="27">SUM(G143:O143)</f>
        <v>4526</v>
      </c>
    </row>
    <row r="144" spans="2:16" x14ac:dyDescent="0.4">
      <c r="C144" s="248" t="s">
        <v>20</v>
      </c>
      <c r="F144" s="263">
        <v>2</v>
      </c>
      <c r="G144" s="267">
        <v>1</v>
      </c>
      <c r="H144" s="268">
        <v>79</v>
      </c>
      <c r="I144" s="269">
        <v>84</v>
      </c>
      <c r="J144" s="269">
        <v>185</v>
      </c>
      <c r="K144" s="269">
        <v>215</v>
      </c>
      <c r="L144" s="269">
        <v>312</v>
      </c>
      <c r="M144" s="269">
        <v>453</v>
      </c>
      <c r="N144" s="270">
        <v>105</v>
      </c>
      <c r="O144" s="268">
        <v>9</v>
      </c>
      <c r="P144" s="271">
        <f t="shared" si="27"/>
        <v>1443</v>
      </c>
    </row>
    <row r="145" spans="2:16" x14ac:dyDescent="0.4">
      <c r="C145" s="248" t="s">
        <v>19</v>
      </c>
      <c r="F145" s="284">
        <v>3</v>
      </c>
      <c r="G145" s="267">
        <v>0</v>
      </c>
      <c r="H145" s="285">
        <v>25</v>
      </c>
      <c r="I145" s="286">
        <v>30</v>
      </c>
      <c r="J145" s="286">
        <v>55</v>
      </c>
      <c r="K145" s="286">
        <v>54</v>
      </c>
      <c r="L145" s="286">
        <v>79</v>
      </c>
      <c r="M145" s="286">
        <v>119</v>
      </c>
      <c r="N145" s="287">
        <v>46</v>
      </c>
      <c r="O145" s="268">
        <v>2</v>
      </c>
      <c r="P145" s="271">
        <f>SUM(G145:O145)</f>
        <v>410</v>
      </c>
    </row>
    <row r="146" spans="2:16" x14ac:dyDescent="0.4">
      <c r="F146" s="275" t="s">
        <v>18</v>
      </c>
      <c r="G146" s="267">
        <v>0</v>
      </c>
      <c r="H146" s="285">
        <v>4</v>
      </c>
      <c r="I146" s="286">
        <v>22</v>
      </c>
      <c r="J146" s="286">
        <v>45</v>
      </c>
      <c r="K146" s="286">
        <v>95</v>
      </c>
      <c r="L146" s="286">
        <v>154</v>
      </c>
      <c r="M146" s="286">
        <v>199</v>
      </c>
      <c r="N146" s="287">
        <v>114</v>
      </c>
      <c r="O146" s="268">
        <v>10</v>
      </c>
      <c r="P146" s="271">
        <f t="shared" si="27"/>
        <v>643</v>
      </c>
    </row>
    <row r="147" spans="2:16" x14ac:dyDescent="0.4">
      <c r="F147" s="288" t="s">
        <v>23</v>
      </c>
      <c r="G147" s="289">
        <f>SUM(G143:G146)</f>
        <v>16</v>
      </c>
      <c r="H147" s="289">
        <f>SUM(H143:H146)</f>
        <v>426</v>
      </c>
      <c r="I147" s="289">
        <f t="shared" ref="I147:O147" si="28">SUM(I143:I146)</f>
        <v>649</v>
      </c>
      <c r="J147" s="289">
        <f t="shared" si="28"/>
        <v>974</v>
      </c>
      <c r="K147" s="289">
        <f t="shared" si="28"/>
        <v>1037</v>
      </c>
      <c r="L147" s="289">
        <f t="shared" si="28"/>
        <v>1415</v>
      </c>
      <c r="M147" s="289">
        <f t="shared" si="28"/>
        <v>1869</v>
      </c>
      <c r="N147" s="289">
        <f t="shared" si="28"/>
        <v>590</v>
      </c>
      <c r="O147" s="289">
        <f t="shared" si="28"/>
        <v>46</v>
      </c>
      <c r="P147" s="289">
        <f>SUM(P143:P146)</f>
        <v>7022</v>
      </c>
    </row>
    <row r="148" spans="2:16" x14ac:dyDescent="0.4">
      <c r="C148" s="248" t="s">
        <v>22</v>
      </c>
    </row>
    <row r="149" spans="2:16" x14ac:dyDescent="0.4">
      <c r="C149" s="248" t="s">
        <v>21</v>
      </c>
      <c r="E149" s="291">
        <f>P143/$P$147</f>
        <v>0.64454571347194534</v>
      </c>
    </row>
    <row r="150" spans="2:16" x14ac:dyDescent="0.4">
      <c r="C150" s="248" t="s">
        <v>20</v>
      </c>
      <c r="E150" s="291">
        <f>P144/$P$147</f>
        <v>0.20549700939903162</v>
      </c>
    </row>
    <row r="151" spans="2:16" x14ac:dyDescent="0.4">
      <c r="C151" s="248" t="s">
        <v>19</v>
      </c>
      <c r="E151" s="291">
        <f>P145/$P$147</f>
        <v>5.8387923668470523E-2</v>
      </c>
    </row>
    <row r="152" spans="2:16" x14ac:dyDescent="0.4">
      <c r="C152" s="292" t="s">
        <v>18</v>
      </c>
      <c r="D152" s="292"/>
      <c r="E152" s="291">
        <f>P146/$P$147</f>
        <v>9.1569353460552547E-2</v>
      </c>
    </row>
    <row r="154" spans="2:16" x14ac:dyDescent="0.4">
      <c r="B154" s="248" t="s">
        <v>33</v>
      </c>
      <c r="P154" s="256" t="s">
        <v>32</v>
      </c>
    </row>
    <row r="155" spans="2:16" ht="9" customHeight="1" x14ac:dyDescent="0.4"/>
    <row r="156" spans="2:16" x14ac:dyDescent="0.4">
      <c r="F156" s="262"/>
      <c r="G156" s="263" t="s">
        <v>218</v>
      </c>
      <c r="H156" s="264" t="s">
        <v>31</v>
      </c>
      <c r="I156" s="265" t="s">
        <v>30</v>
      </c>
      <c r="J156" s="265" t="s">
        <v>29</v>
      </c>
      <c r="K156" s="265" t="s">
        <v>28</v>
      </c>
      <c r="L156" s="265" t="s">
        <v>27</v>
      </c>
      <c r="M156" s="265" t="s">
        <v>26</v>
      </c>
      <c r="N156" s="266" t="s">
        <v>25</v>
      </c>
      <c r="O156" s="264" t="s">
        <v>24</v>
      </c>
      <c r="P156" s="265" t="s">
        <v>23</v>
      </c>
    </row>
    <row r="157" spans="2:16" x14ac:dyDescent="0.4">
      <c r="C157" s="248" t="s">
        <v>21</v>
      </c>
      <c r="F157" s="263">
        <v>1</v>
      </c>
      <c r="G157" s="267">
        <v>13</v>
      </c>
      <c r="H157" s="268">
        <v>271</v>
      </c>
      <c r="I157" s="269">
        <v>455</v>
      </c>
      <c r="J157" s="269">
        <v>643</v>
      </c>
      <c r="K157" s="269">
        <v>632</v>
      </c>
      <c r="L157" s="269">
        <v>844</v>
      </c>
      <c r="M157" s="269">
        <v>1123</v>
      </c>
      <c r="N157" s="270">
        <v>356</v>
      </c>
      <c r="O157" s="268">
        <v>31</v>
      </c>
      <c r="P157" s="271">
        <f t="shared" ref="P157:P161" si="29">SUM(G157:O157)</f>
        <v>4368</v>
      </c>
    </row>
    <row r="158" spans="2:16" x14ac:dyDescent="0.4">
      <c r="C158" s="248" t="s">
        <v>20</v>
      </c>
      <c r="F158" s="263">
        <v>2</v>
      </c>
      <c r="G158" s="267">
        <v>3</v>
      </c>
      <c r="H158" s="268">
        <v>107</v>
      </c>
      <c r="I158" s="269">
        <v>109</v>
      </c>
      <c r="J158" s="269">
        <v>205</v>
      </c>
      <c r="K158" s="269">
        <v>225</v>
      </c>
      <c r="L158" s="269">
        <v>310</v>
      </c>
      <c r="M158" s="269">
        <v>404</v>
      </c>
      <c r="N158" s="270">
        <v>78</v>
      </c>
      <c r="O158" s="268">
        <v>3</v>
      </c>
      <c r="P158" s="271">
        <f t="shared" si="29"/>
        <v>1444</v>
      </c>
    </row>
    <row r="159" spans="2:16" x14ac:dyDescent="0.4">
      <c r="C159" s="248" t="s">
        <v>19</v>
      </c>
      <c r="F159" s="284">
        <v>3</v>
      </c>
      <c r="G159" s="267">
        <v>0</v>
      </c>
      <c r="H159" s="285">
        <v>43</v>
      </c>
      <c r="I159" s="286">
        <v>63</v>
      </c>
      <c r="J159" s="286">
        <v>82</v>
      </c>
      <c r="K159" s="286">
        <v>85</v>
      </c>
      <c r="L159" s="286">
        <v>110</v>
      </c>
      <c r="M159" s="286">
        <v>136</v>
      </c>
      <c r="N159" s="287">
        <v>50</v>
      </c>
      <c r="O159" s="268">
        <v>5</v>
      </c>
      <c r="P159" s="271">
        <f t="shared" si="29"/>
        <v>574</v>
      </c>
    </row>
    <row r="160" spans="2:16" x14ac:dyDescent="0.4">
      <c r="F160" s="275" t="s">
        <v>18</v>
      </c>
      <c r="G160" s="267">
        <v>0</v>
      </c>
      <c r="H160" s="285">
        <v>5</v>
      </c>
      <c r="I160" s="286">
        <v>22</v>
      </c>
      <c r="J160" s="286">
        <v>44</v>
      </c>
      <c r="K160" s="286">
        <v>95</v>
      </c>
      <c r="L160" s="286">
        <v>151</v>
      </c>
      <c r="M160" s="286">
        <v>206</v>
      </c>
      <c r="N160" s="287">
        <v>106</v>
      </c>
      <c r="O160" s="268">
        <v>7</v>
      </c>
      <c r="P160" s="271">
        <f t="shared" si="29"/>
        <v>636</v>
      </c>
    </row>
    <row r="161" spans="2:16" x14ac:dyDescent="0.4">
      <c r="F161" s="288" t="s">
        <v>23</v>
      </c>
      <c r="G161" s="289">
        <f>SUM(G157:G160)</f>
        <v>16</v>
      </c>
      <c r="H161" s="289">
        <f>SUM(H157:H160)</f>
        <v>426</v>
      </c>
      <c r="I161" s="289">
        <f t="shared" ref="I161:O161" si="30">SUM(I157:I160)</f>
        <v>649</v>
      </c>
      <c r="J161" s="289">
        <f t="shared" si="30"/>
        <v>974</v>
      </c>
      <c r="K161" s="289">
        <f t="shared" si="30"/>
        <v>1037</v>
      </c>
      <c r="L161" s="289">
        <f t="shared" si="30"/>
        <v>1415</v>
      </c>
      <c r="M161" s="289">
        <f t="shared" si="30"/>
        <v>1869</v>
      </c>
      <c r="N161" s="289">
        <f t="shared" si="30"/>
        <v>590</v>
      </c>
      <c r="O161" s="289">
        <f t="shared" si="30"/>
        <v>46</v>
      </c>
      <c r="P161" s="271">
        <f t="shared" si="29"/>
        <v>7022</v>
      </c>
    </row>
    <row r="162" spans="2:16" x14ac:dyDescent="0.4">
      <c r="C162" s="248" t="s">
        <v>22</v>
      </c>
    </row>
    <row r="163" spans="2:16" x14ac:dyDescent="0.4">
      <c r="C163" s="248" t="s">
        <v>21</v>
      </c>
      <c r="E163" s="291">
        <f>P157/$P$161</f>
        <v>0.62204500142409569</v>
      </c>
    </row>
    <row r="164" spans="2:16" x14ac:dyDescent="0.4">
      <c r="C164" s="248" t="s">
        <v>20</v>
      </c>
      <c r="E164" s="291">
        <f>P158/$P$161</f>
        <v>0.20563941896895471</v>
      </c>
    </row>
    <row r="165" spans="2:16" x14ac:dyDescent="0.4">
      <c r="C165" s="248" t="s">
        <v>19</v>
      </c>
      <c r="E165" s="291">
        <f>P159/$P$161</f>
        <v>8.174309313585873E-2</v>
      </c>
    </row>
    <row r="166" spans="2:16" x14ac:dyDescent="0.4">
      <c r="C166" s="292" t="s">
        <v>18</v>
      </c>
      <c r="D166" s="292"/>
      <c r="E166" s="291">
        <f>P160/$P$161</f>
        <v>9.0572486471090854E-2</v>
      </c>
    </row>
    <row r="168" spans="2:16" x14ac:dyDescent="0.4">
      <c r="B168" s="248" t="s">
        <v>220</v>
      </c>
      <c r="P168" s="256" t="s">
        <v>32</v>
      </c>
    </row>
    <row r="169" spans="2:16" x14ac:dyDescent="0.4">
      <c r="P169" s="256"/>
    </row>
    <row r="170" spans="2:16" x14ac:dyDescent="0.4">
      <c r="B170" s="293"/>
      <c r="C170" s="248" t="s">
        <v>22</v>
      </c>
      <c r="D170" s="291"/>
      <c r="F170" s="262"/>
      <c r="G170" s="263" t="s">
        <v>218</v>
      </c>
      <c r="H170" s="264" t="s">
        <v>31</v>
      </c>
      <c r="I170" s="265" t="s">
        <v>30</v>
      </c>
      <c r="J170" s="265" t="s">
        <v>29</v>
      </c>
      <c r="K170" s="265" t="s">
        <v>28</v>
      </c>
      <c r="L170" s="265" t="s">
        <v>27</v>
      </c>
      <c r="M170" s="265" t="s">
        <v>26</v>
      </c>
      <c r="N170" s="266" t="s">
        <v>25</v>
      </c>
      <c r="O170" s="264" t="s">
        <v>24</v>
      </c>
      <c r="P170" s="265" t="s">
        <v>23</v>
      </c>
    </row>
    <row r="171" spans="2:16" x14ac:dyDescent="0.4">
      <c r="C171" s="248" t="s">
        <v>75</v>
      </c>
      <c r="D171" s="291">
        <f>P171/$P$63</f>
        <v>0.48348048988892056</v>
      </c>
      <c r="F171" s="263">
        <v>1</v>
      </c>
      <c r="G171" s="267">
        <v>11</v>
      </c>
      <c r="H171" s="268">
        <v>250</v>
      </c>
      <c r="I171" s="269">
        <v>277</v>
      </c>
      <c r="J171" s="269">
        <v>412</v>
      </c>
      <c r="K171" s="269">
        <v>394</v>
      </c>
      <c r="L171" s="269">
        <v>660</v>
      </c>
      <c r="M171" s="269">
        <v>992</v>
      </c>
      <c r="N171" s="270">
        <v>363</v>
      </c>
      <c r="O171" s="268">
        <v>36</v>
      </c>
      <c r="P171" s="271">
        <f>SUM(G171:O171)</f>
        <v>3395</v>
      </c>
    </row>
    <row r="172" spans="2:16" x14ac:dyDescent="0.4">
      <c r="C172" s="248" t="s">
        <v>74</v>
      </c>
      <c r="D172" s="291">
        <f>P172/$P$63</f>
        <v>0.41113642836798631</v>
      </c>
      <c r="F172" s="263">
        <v>2</v>
      </c>
      <c r="G172" s="267">
        <v>5</v>
      </c>
      <c r="H172" s="268">
        <v>167</v>
      </c>
      <c r="I172" s="269">
        <v>339</v>
      </c>
      <c r="J172" s="269">
        <v>498</v>
      </c>
      <c r="K172" s="269">
        <v>535</v>
      </c>
      <c r="L172" s="269">
        <v>576</v>
      </c>
      <c r="M172" s="269">
        <v>626</v>
      </c>
      <c r="N172" s="270">
        <v>139</v>
      </c>
      <c r="O172" s="268">
        <v>2</v>
      </c>
      <c r="P172" s="271">
        <f t="shared" ref="P172:P174" si="31">SUM(G172:O172)</f>
        <v>2887</v>
      </c>
    </row>
    <row r="173" spans="2:16" x14ac:dyDescent="0.4">
      <c r="C173" s="292" t="s">
        <v>18</v>
      </c>
      <c r="D173" s="291">
        <f>P173/$P$63</f>
        <v>0.10538308174309313</v>
      </c>
      <c r="F173" s="275" t="s">
        <v>18</v>
      </c>
      <c r="G173" s="267">
        <v>0</v>
      </c>
      <c r="H173" s="285">
        <v>9</v>
      </c>
      <c r="I173" s="286">
        <v>33</v>
      </c>
      <c r="J173" s="286">
        <v>64</v>
      </c>
      <c r="K173" s="286">
        <v>108</v>
      </c>
      <c r="L173" s="286">
        <v>179</v>
      </c>
      <c r="M173" s="286">
        <v>251</v>
      </c>
      <c r="N173" s="287">
        <v>88</v>
      </c>
      <c r="O173" s="268">
        <v>8</v>
      </c>
      <c r="P173" s="271">
        <f t="shared" si="31"/>
        <v>740</v>
      </c>
    </row>
    <row r="174" spans="2:16" x14ac:dyDescent="0.4">
      <c r="F174" s="288" t="s">
        <v>23</v>
      </c>
      <c r="G174" s="289">
        <f>SUM(G171:G173)</f>
        <v>16</v>
      </c>
      <c r="H174" s="289">
        <f>SUM(H171:H173)</f>
        <v>426</v>
      </c>
      <c r="I174" s="289">
        <f t="shared" ref="I174:O174" si="32">SUM(I171:I173)</f>
        <v>649</v>
      </c>
      <c r="J174" s="289">
        <f t="shared" si="32"/>
        <v>974</v>
      </c>
      <c r="K174" s="289">
        <f t="shared" si="32"/>
        <v>1037</v>
      </c>
      <c r="L174" s="289">
        <f t="shared" si="32"/>
        <v>1415</v>
      </c>
      <c r="M174" s="289">
        <f t="shared" si="32"/>
        <v>1869</v>
      </c>
      <c r="N174" s="289">
        <f t="shared" si="32"/>
        <v>590</v>
      </c>
      <c r="O174" s="289">
        <f t="shared" si="32"/>
        <v>46</v>
      </c>
      <c r="P174" s="271">
        <f t="shared" si="31"/>
        <v>7022</v>
      </c>
    </row>
    <row r="176" spans="2:16" x14ac:dyDescent="0.4">
      <c r="B176" s="248" t="s">
        <v>221</v>
      </c>
      <c r="P176" s="256" t="s">
        <v>32</v>
      </c>
    </row>
    <row r="177" spans="2:16" x14ac:dyDescent="0.4">
      <c r="P177" s="256"/>
    </row>
    <row r="178" spans="2:16" x14ac:dyDescent="0.4">
      <c r="B178" s="293"/>
      <c r="C178" s="248" t="s">
        <v>22</v>
      </c>
      <c r="D178" s="291"/>
      <c r="F178" s="262"/>
      <c r="G178" s="263" t="s">
        <v>218</v>
      </c>
      <c r="H178" s="264" t="s">
        <v>31</v>
      </c>
      <c r="I178" s="265" t="s">
        <v>30</v>
      </c>
      <c r="J178" s="265" t="s">
        <v>29</v>
      </c>
      <c r="K178" s="265" t="s">
        <v>28</v>
      </c>
      <c r="L178" s="265" t="s">
        <v>27</v>
      </c>
      <c r="M178" s="265" t="s">
        <v>26</v>
      </c>
      <c r="N178" s="266" t="s">
        <v>25</v>
      </c>
      <c r="O178" s="264" t="s">
        <v>24</v>
      </c>
      <c r="P178" s="265" t="s">
        <v>23</v>
      </c>
    </row>
    <row r="179" spans="2:16" x14ac:dyDescent="0.4">
      <c r="C179" s="248" t="s">
        <v>75</v>
      </c>
      <c r="D179" s="291">
        <f>P179/$P$63</f>
        <v>0.1821418399316434</v>
      </c>
      <c r="F179" s="263">
        <v>1</v>
      </c>
      <c r="G179" s="267">
        <v>0</v>
      </c>
      <c r="H179" s="268">
        <v>12</v>
      </c>
      <c r="I179" s="269">
        <v>29</v>
      </c>
      <c r="J179" s="269">
        <v>84</v>
      </c>
      <c r="K179" s="269">
        <v>142</v>
      </c>
      <c r="L179" s="269">
        <v>317</v>
      </c>
      <c r="M179" s="269">
        <v>500</v>
      </c>
      <c r="N179" s="270">
        <v>181</v>
      </c>
      <c r="O179" s="268">
        <v>14</v>
      </c>
      <c r="P179" s="271">
        <f>SUM(G179:O179)</f>
        <v>1279</v>
      </c>
    </row>
    <row r="180" spans="2:16" x14ac:dyDescent="0.4">
      <c r="C180" s="248" t="s">
        <v>74</v>
      </c>
      <c r="D180" s="291">
        <f>P180/$P$63</f>
        <v>0.70649387638849326</v>
      </c>
      <c r="F180" s="263">
        <v>2</v>
      </c>
      <c r="G180" s="267">
        <v>16</v>
      </c>
      <c r="H180" s="268">
        <v>401</v>
      </c>
      <c r="I180" s="269">
        <v>581</v>
      </c>
      <c r="J180" s="269">
        <v>825</v>
      </c>
      <c r="K180" s="269">
        <v>784</v>
      </c>
      <c r="L180" s="269">
        <v>902</v>
      </c>
      <c r="M180" s="269">
        <v>1121</v>
      </c>
      <c r="N180" s="270">
        <v>305</v>
      </c>
      <c r="O180" s="268">
        <v>26</v>
      </c>
      <c r="P180" s="271">
        <f t="shared" ref="P180:P182" si="33">SUM(G180:O180)</f>
        <v>4961</v>
      </c>
    </row>
    <row r="181" spans="2:16" x14ac:dyDescent="0.4">
      <c r="C181" s="292" t="s">
        <v>18</v>
      </c>
      <c r="D181" s="291">
        <f>P181/$P$63</f>
        <v>0.11136428367986329</v>
      </c>
      <c r="F181" s="275" t="s">
        <v>18</v>
      </c>
      <c r="G181" s="267">
        <v>0</v>
      </c>
      <c r="H181" s="285">
        <v>13</v>
      </c>
      <c r="I181" s="286">
        <v>39</v>
      </c>
      <c r="J181" s="286">
        <v>65</v>
      </c>
      <c r="K181" s="286">
        <v>111</v>
      </c>
      <c r="L181" s="286">
        <v>196</v>
      </c>
      <c r="M181" s="286">
        <v>248</v>
      </c>
      <c r="N181" s="287">
        <v>104</v>
      </c>
      <c r="O181" s="268">
        <v>6</v>
      </c>
      <c r="P181" s="271">
        <f t="shared" si="33"/>
        <v>782</v>
      </c>
    </row>
    <row r="182" spans="2:16" x14ac:dyDescent="0.4">
      <c r="F182" s="288" t="s">
        <v>23</v>
      </c>
      <c r="G182" s="289">
        <f>SUM(G179:G181)</f>
        <v>16</v>
      </c>
      <c r="H182" s="289">
        <f>SUM(H179:H181)</f>
        <v>426</v>
      </c>
      <c r="I182" s="289">
        <f t="shared" ref="I182:O182" si="34">SUM(I179:I181)</f>
        <v>649</v>
      </c>
      <c r="J182" s="289">
        <f t="shared" si="34"/>
        <v>974</v>
      </c>
      <c r="K182" s="289">
        <f t="shared" si="34"/>
        <v>1037</v>
      </c>
      <c r="L182" s="289">
        <f t="shared" si="34"/>
        <v>1415</v>
      </c>
      <c r="M182" s="289">
        <f t="shared" si="34"/>
        <v>1869</v>
      </c>
      <c r="N182" s="289">
        <f t="shared" si="34"/>
        <v>590</v>
      </c>
      <c r="O182" s="289">
        <f t="shared" si="34"/>
        <v>46</v>
      </c>
      <c r="P182" s="271">
        <f t="shared" si="33"/>
        <v>7022</v>
      </c>
    </row>
    <row r="184" spans="2:16" x14ac:dyDescent="0.4">
      <c r="B184" s="248" t="s">
        <v>222</v>
      </c>
      <c r="P184" s="256" t="s">
        <v>32</v>
      </c>
    </row>
    <row r="185" spans="2:16" x14ac:dyDescent="0.4">
      <c r="P185" s="256"/>
    </row>
    <row r="186" spans="2:16" x14ac:dyDescent="0.4">
      <c r="B186" s="293"/>
      <c r="C186" s="248" t="s">
        <v>22</v>
      </c>
      <c r="D186" s="291"/>
      <c r="F186" s="262"/>
      <c r="G186" s="263" t="s">
        <v>218</v>
      </c>
      <c r="H186" s="264" t="s">
        <v>31</v>
      </c>
      <c r="I186" s="265" t="s">
        <v>30</v>
      </c>
      <c r="J186" s="265" t="s">
        <v>29</v>
      </c>
      <c r="K186" s="265" t="s">
        <v>28</v>
      </c>
      <c r="L186" s="265" t="s">
        <v>27</v>
      </c>
      <c r="M186" s="265" t="s">
        <v>26</v>
      </c>
      <c r="N186" s="266" t="s">
        <v>25</v>
      </c>
      <c r="O186" s="264" t="s">
        <v>24</v>
      </c>
      <c r="P186" s="265" t="s">
        <v>23</v>
      </c>
    </row>
    <row r="187" spans="2:16" x14ac:dyDescent="0.4">
      <c r="C187" s="248" t="s">
        <v>75</v>
      </c>
      <c r="D187" s="291">
        <f>P187/$P$63</f>
        <v>0.18897749928795216</v>
      </c>
      <c r="F187" s="263">
        <v>1</v>
      </c>
      <c r="G187" s="267">
        <v>2</v>
      </c>
      <c r="H187" s="268">
        <v>50</v>
      </c>
      <c r="I187" s="269">
        <v>70</v>
      </c>
      <c r="J187" s="269">
        <v>165</v>
      </c>
      <c r="K187" s="269">
        <v>172</v>
      </c>
      <c r="L187" s="269">
        <v>308</v>
      </c>
      <c r="M187" s="269">
        <v>422</v>
      </c>
      <c r="N187" s="270">
        <v>127</v>
      </c>
      <c r="O187" s="268">
        <v>11</v>
      </c>
      <c r="P187" s="271">
        <f>SUM(G187:O187)</f>
        <v>1327</v>
      </c>
    </row>
    <row r="188" spans="2:16" x14ac:dyDescent="0.4">
      <c r="C188" s="248" t="s">
        <v>74</v>
      </c>
      <c r="D188" s="291">
        <f>P188/$P$63</f>
        <v>0.69481629165479919</v>
      </c>
      <c r="F188" s="263">
        <v>2</v>
      </c>
      <c r="G188" s="267">
        <v>14</v>
      </c>
      <c r="H188" s="268">
        <v>362</v>
      </c>
      <c r="I188" s="269">
        <v>542</v>
      </c>
      <c r="J188" s="269">
        <v>744</v>
      </c>
      <c r="K188" s="269">
        <v>751</v>
      </c>
      <c r="L188" s="269">
        <v>913</v>
      </c>
      <c r="M188" s="269">
        <v>1184</v>
      </c>
      <c r="N188" s="270">
        <v>342</v>
      </c>
      <c r="O188" s="268">
        <v>27</v>
      </c>
      <c r="P188" s="271">
        <f t="shared" ref="P188:P190" si="35">SUM(G188:O188)</f>
        <v>4879</v>
      </c>
    </row>
    <row r="189" spans="2:16" x14ac:dyDescent="0.4">
      <c r="C189" s="292" t="s">
        <v>18</v>
      </c>
      <c r="D189" s="291">
        <f>P189/$P$63</f>
        <v>0.11620620905724864</v>
      </c>
      <c r="F189" s="275" t="s">
        <v>18</v>
      </c>
      <c r="G189" s="267">
        <v>0</v>
      </c>
      <c r="H189" s="285">
        <v>14</v>
      </c>
      <c r="I189" s="286">
        <v>37</v>
      </c>
      <c r="J189" s="286">
        <v>65</v>
      </c>
      <c r="K189" s="286">
        <v>114</v>
      </c>
      <c r="L189" s="286">
        <v>194</v>
      </c>
      <c r="M189" s="286">
        <v>263</v>
      </c>
      <c r="N189" s="287">
        <v>121</v>
      </c>
      <c r="O189" s="268">
        <v>8</v>
      </c>
      <c r="P189" s="271">
        <f t="shared" si="35"/>
        <v>816</v>
      </c>
    </row>
    <row r="190" spans="2:16" x14ac:dyDescent="0.4">
      <c r="F190" s="288" t="s">
        <v>23</v>
      </c>
      <c r="G190" s="289">
        <f>SUM(G187:G189)</f>
        <v>16</v>
      </c>
      <c r="H190" s="289">
        <f>SUM(H187:H189)</f>
        <v>426</v>
      </c>
      <c r="I190" s="289">
        <f t="shared" ref="I190:O190" si="36">SUM(I187:I189)</f>
        <v>649</v>
      </c>
      <c r="J190" s="289">
        <f t="shared" si="36"/>
        <v>974</v>
      </c>
      <c r="K190" s="289">
        <f t="shared" si="36"/>
        <v>1037</v>
      </c>
      <c r="L190" s="289">
        <f t="shared" si="36"/>
        <v>1415</v>
      </c>
      <c r="M190" s="289">
        <f t="shared" si="36"/>
        <v>1869</v>
      </c>
      <c r="N190" s="289">
        <f t="shared" si="36"/>
        <v>590</v>
      </c>
      <c r="O190" s="289">
        <f t="shared" si="36"/>
        <v>46</v>
      </c>
      <c r="P190" s="271">
        <f t="shared" si="35"/>
        <v>7022</v>
      </c>
    </row>
    <row r="192" spans="2:16" x14ac:dyDescent="0.4">
      <c r="B192" s="248" t="s">
        <v>223</v>
      </c>
      <c r="P192" s="248" t="s">
        <v>32</v>
      </c>
    </row>
    <row r="194" spans="2:16" x14ac:dyDescent="0.4">
      <c r="C194" s="248" t="s">
        <v>22</v>
      </c>
      <c r="D194" s="291"/>
      <c r="F194" s="262"/>
      <c r="G194" s="263" t="s">
        <v>218</v>
      </c>
      <c r="H194" s="264" t="s">
        <v>31</v>
      </c>
      <c r="I194" s="265" t="s">
        <v>30</v>
      </c>
      <c r="J194" s="265" t="s">
        <v>29</v>
      </c>
      <c r="K194" s="265" t="s">
        <v>28</v>
      </c>
      <c r="L194" s="265" t="s">
        <v>27</v>
      </c>
      <c r="M194" s="265" t="s">
        <v>26</v>
      </c>
      <c r="N194" s="266" t="s">
        <v>25</v>
      </c>
      <c r="O194" s="264" t="s">
        <v>24</v>
      </c>
      <c r="P194" s="265" t="s">
        <v>23</v>
      </c>
    </row>
    <row r="195" spans="2:16" x14ac:dyDescent="0.4">
      <c r="C195" s="248" t="s">
        <v>75</v>
      </c>
      <c r="D195" s="291">
        <f>P195/$P$63</f>
        <v>0.182996297351182</v>
      </c>
      <c r="F195" s="263">
        <v>1</v>
      </c>
      <c r="G195" s="267">
        <v>2</v>
      </c>
      <c r="H195" s="268">
        <v>71</v>
      </c>
      <c r="I195" s="269">
        <v>132</v>
      </c>
      <c r="J195" s="269">
        <v>160</v>
      </c>
      <c r="K195" s="269">
        <v>156</v>
      </c>
      <c r="L195" s="269">
        <v>256</v>
      </c>
      <c r="M195" s="269">
        <v>356</v>
      </c>
      <c r="N195" s="270">
        <v>139</v>
      </c>
      <c r="O195" s="268">
        <v>13</v>
      </c>
      <c r="P195" s="271">
        <f>SUM(G195:O195)</f>
        <v>1285</v>
      </c>
    </row>
    <row r="196" spans="2:16" x14ac:dyDescent="0.4">
      <c r="C196" s="248" t="s">
        <v>74</v>
      </c>
      <c r="D196" s="291">
        <f>P196/$P$63</f>
        <v>0.70022785531187692</v>
      </c>
      <c r="F196" s="263">
        <v>2</v>
      </c>
      <c r="G196" s="267">
        <v>14</v>
      </c>
      <c r="H196" s="268">
        <v>344</v>
      </c>
      <c r="I196" s="269">
        <v>483</v>
      </c>
      <c r="J196" s="269">
        <v>751</v>
      </c>
      <c r="K196" s="269">
        <v>772</v>
      </c>
      <c r="L196" s="269">
        <v>963</v>
      </c>
      <c r="M196" s="269">
        <v>1231</v>
      </c>
      <c r="N196" s="270">
        <v>334</v>
      </c>
      <c r="O196" s="268">
        <v>25</v>
      </c>
      <c r="P196" s="271">
        <f t="shared" ref="P196:P198" si="37">SUM(G196:O196)</f>
        <v>4917</v>
      </c>
    </row>
    <row r="197" spans="2:16" x14ac:dyDescent="0.4">
      <c r="C197" s="292" t="s">
        <v>18</v>
      </c>
      <c r="D197" s="291">
        <f>P197/$P$63</f>
        <v>0.11677584733694105</v>
      </c>
      <c r="F197" s="275" t="s">
        <v>18</v>
      </c>
      <c r="G197" s="267">
        <v>0</v>
      </c>
      <c r="H197" s="285">
        <v>11</v>
      </c>
      <c r="I197" s="286">
        <v>34</v>
      </c>
      <c r="J197" s="286">
        <v>63</v>
      </c>
      <c r="K197" s="286">
        <v>109</v>
      </c>
      <c r="L197" s="286">
        <v>196</v>
      </c>
      <c r="M197" s="286">
        <v>282</v>
      </c>
      <c r="N197" s="287">
        <v>117</v>
      </c>
      <c r="O197" s="268">
        <v>8</v>
      </c>
      <c r="P197" s="271">
        <f t="shared" si="37"/>
        <v>820</v>
      </c>
    </row>
    <row r="198" spans="2:16" x14ac:dyDescent="0.4">
      <c r="F198" s="288" t="s">
        <v>23</v>
      </c>
      <c r="G198" s="289">
        <f>SUM(G195:G197)</f>
        <v>16</v>
      </c>
      <c r="H198" s="289">
        <f>SUM(H195:H197)</f>
        <v>426</v>
      </c>
      <c r="I198" s="289">
        <f t="shared" ref="I198:O198" si="38">SUM(I195:I197)</f>
        <v>649</v>
      </c>
      <c r="J198" s="289">
        <f t="shared" si="38"/>
        <v>974</v>
      </c>
      <c r="K198" s="289">
        <f t="shared" si="38"/>
        <v>1037</v>
      </c>
      <c r="L198" s="289">
        <f t="shared" si="38"/>
        <v>1415</v>
      </c>
      <c r="M198" s="289">
        <f t="shared" si="38"/>
        <v>1869</v>
      </c>
      <c r="N198" s="289">
        <f t="shared" si="38"/>
        <v>590</v>
      </c>
      <c r="O198" s="289">
        <f t="shared" si="38"/>
        <v>46</v>
      </c>
      <c r="P198" s="271">
        <f t="shared" si="37"/>
        <v>7022</v>
      </c>
    </row>
    <row r="200" spans="2:16" x14ac:dyDescent="0.4">
      <c r="B200" s="248" t="s">
        <v>224</v>
      </c>
      <c r="P200" s="248" t="s">
        <v>32</v>
      </c>
    </row>
    <row r="202" spans="2:16" x14ac:dyDescent="0.4">
      <c r="C202" s="248" t="s">
        <v>22</v>
      </c>
      <c r="D202" s="291"/>
      <c r="F202" s="262"/>
      <c r="G202" s="263" t="s">
        <v>218</v>
      </c>
      <c r="H202" s="264" t="s">
        <v>31</v>
      </c>
      <c r="I202" s="265" t="s">
        <v>30</v>
      </c>
      <c r="J202" s="265" t="s">
        <v>29</v>
      </c>
      <c r="K202" s="265" t="s">
        <v>28</v>
      </c>
      <c r="L202" s="265" t="s">
        <v>27</v>
      </c>
      <c r="M202" s="265" t="s">
        <v>26</v>
      </c>
      <c r="N202" s="266" t="s">
        <v>25</v>
      </c>
      <c r="O202" s="264" t="s">
        <v>24</v>
      </c>
      <c r="P202" s="265" t="s">
        <v>23</v>
      </c>
    </row>
    <row r="203" spans="2:16" x14ac:dyDescent="0.4">
      <c r="C203" s="248" t="s">
        <v>75</v>
      </c>
      <c r="D203" s="291">
        <f>P203/$P$63</f>
        <v>0.59441754485901455</v>
      </c>
      <c r="F203" s="263">
        <v>1</v>
      </c>
      <c r="G203" s="267">
        <v>16</v>
      </c>
      <c r="H203" s="268">
        <v>373</v>
      </c>
      <c r="I203" s="269">
        <v>505</v>
      </c>
      <c r="J203" s="269">
        <v>695</v>
      </c>
      <c r="K203" s="269">
        <v>615</v>
      </c>
      <c r="L203" s="269">
        <v>673</v>
      </c>
      <c r="M203" s="269">
        <v>950</v>
      </c>
      <c r="N203" s="270">
        <v>319</v>
      </c>
      <c r="O203" s="268">
        <v>28</v>
      </c>
      <c r="P203" s="271">
        <f>SUM(G203:O203)</f>
        <v>4174</v>
      </c>
    </row>
    <row r="204" spans="2:16" x14ac:dyDescent="0.4">
      <c r="C204" s="248" t="s">
        <v>74</v>
      </c>
      <c r="D204" s="291">
        <f>P204/$P$63</f>
        <v>0.29678154371973797</v>
      </c>
      <c r="F204" s="263">
        <v>2</v>
      </c>
      <c r="G204" s="267">
        <v>0</v>
      </c>
      <c r="H204" s="268">
        <v>40</v>
      </c>
      <c r="I204" s="269">
        <v>110</v>
      </c>
      <c r="J204" s="269">
        <v>214</v>
      </c>
      <c r="K204" s="269">
        <v>317</v>
      </c>
      <c r="L204" s="269">
        <v>549</v>
      </c>
      <c r="M204" s="269">
        <v>678</v>
      </c>
      <c r="N204" s="270">
        <v>167</v>
      </c>
      <c r="O204" s="268">
        <v>9</v>
      </c>
      <c r="P204" s="271">
        <f t="shared" ref="P204:P206" si="39">SUM(G204:O204)</f>
        <v>2084</v>
      </c>
    </row>
    <row r="205" spans="2:16" x14ac:dyDescent="0.4">
      <c r="C205" s="292" t="s">
        <v>18</v>
      </c>
      <c r="D205" s="291">
        <f>P205/$P$63</f>
        <v>0.10880091142124751</v>
      </c>
      <c r="F205" s="275" t="s">
        <v>18</v>
      </c>
      <c r="G205" s="267">
        <v>0</v>
      </c>
      <c r="H205" s="285">
        <v>13</v>
      </c>
      <c r="I205" s="286">
        <v>34</v>
      </c>
      <c r="J205" s="286">
        <v>65</v>
      </c>
      <c r="K205" s="286">
        <v>105</v>
      </c>
      <c r="L205" s="286">
        <v>193</v>
      </c>
      <c r="M205" s="286">
        <v>241</v>
      </c>
      <c r="N205" s="287">
        <v>104</v>
      </c>
      <c r="O205" s="268">
        <v>9</v>
      </c>
      <c r="P205" s="271">
        <f t="shared" si="39"/>
        <v>764</v>
      </c>
    </row>
    <row r="206" spans="2:16" x14ac:dyDescent="0.4">
      <c r="F206" s="288" t="s">
        <v>23</v>
      </c>
      <c r="G206" s="289">
        <f>SUM(G203:G205)</f>
        <v>16</v>
      </c>
      <c r="H206" s="289">
        <f>SUM(H203:H205)</f>
        <v>426</v>
      </c>
      <c r="I206" s="289">
        <f t="shared" ref="I206:O206" si="40">SUM(I203:I205)</f>
        <v>649</v>
      </c>
      <c r="J206" s="289">
        <f t="shared" si="40"/>
        <v>974</v>
      </c>
      <c r="K206" s="289">
        <f t="shared" si="40"/>
        <v>1037</v>
      </c>
      <c r="L206" s="289">
        <f t="shared" si="40"/>
        <v>1415</v>
      </c>
      <c r="M206" s="289">
        <f t="shared" si="40"/>
        <v>1869</v>
      </c>
      <c r="N206" s="289">
        <f t="shared" si="40"/>
        <v>590</v>
      </c>
      <c r="O206" s="289">
        <f t="shared" si="40"/>
        <v>46</v>
      </c>
      <c r="P206" s="271">
        <f t="shared" si="39"/>
        <v>7022</v>
      </c>
    </row>
  </sheetData>
  <protectedRanges>
    <protectedRange sqref="I105:I109 L105:L109" name="範囲2"/>
    <protectedRange sqref="C16:C18 H23:O27 H37:O39 H49:O51 H60:O62 H71:O72 H78:O81 H96:O97 H99:O100 H115:O118 H129:O132 H143:O146 H157:O160 B1:L1 B4:I6 H12:O14 H171:O173 H179:O181 H187:O189 H195:O197 H203:O205" name="範囲1"/>
  </protectedRanges>
  <phoneticPr fontId="9"/>
  <pageMargins left="0.11811023622047245" right="0.11811023622047245" top="0.59055118110236227" bottom="0.55118110236220474" header="0.31496062992125984" footer="0.31496062992125984"/>
  <pageSetup paperSize="9" scale="54" orientation="portrait" r:id="rId1"/>
  <rowBreaks count="2" manualBreakCount="2">
    <brk id="74" max="16383" man="1"/>
    <brk id="15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vt:i4>
      </vt:variant>
    </vt:vector>
  </HeadingPairs>
  <TitlesOfParts>
    <vt:vector size="13" baseType="lpstr">
      <vt:lpstr>H25</vt:lpstr>
      <vt:lpstr>H26</vt:lpstr>
      <vt:lpstr>H27</vt:lpstr>
      <vt:lpstr>H29</vt:lpstr>
      <vt:lpstr>H30</vt:lpstr>
      <vt:lpstr>H31</vt:lpstr>
      <vt:lpstr>R2</vt:lpstr>
      <vt:lpstr>R4</vt:lpstr>
      <vt:lpstr>R5</vt:lpstr>
      <vt:lpstr>R6</vt:lpstr>
      <vt:lpstr>R7</vt:lpstr>
      <vt:lpstr>推移</vt:lpstr>
      <vt:lpstr>推移!Print_Area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2026-04-10T11:29:00Z</dcterms:modified>
</cp:coreProperties>
</file>