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1903-28646\F\010庶務\011各種アンケート調査\令和３年度調査\01 勤務医アンケート調査\99 オープンデータ用\"/>
    </mc:Choice>
  </mc:AlternateContent>
  <bookViews>
    <workbookView xWindow="0" yWindow="0" windowWidth="19200" windowHeight="7230" tabRatio="866"/>
  </bookViews>
  <sheets>
    <sheet name="公表ベース" sheetId="6" r:id="rId1"/>
  </sheets>
  <externalReferences>
    <externalReference r:id="rId2"/>
  </externalReferences>
  <definedNames>
    <definedName name="_xlnm.Print_Area" localSheetId="0">公表ベース!$A$1:$S$970</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1" i="6" l="1"/>
  <c r="G453" i="6"/>
  <c r="G455" i="6"/>
  <c r="H457" i="6"/>
  <c r="AE1222" i="6"/>
  <c r="AC1222" i="6"/>
  <c r="AA1222" i="6"/>
  <c r="Y1221" i="6"/>
  <c r="AE1220" i="6"/>
  <c r="AC1220" i="6"/>
  <c r="AA1220" i="6"/>
  <c r="Y1219" i="6"/>
  <c r="AK1218" i="6"/>
  <c r="AI1218" i="6"/>
  <c r="AE1218" i="6"/>
  <c r="AC1218" i="6"/>
  <c r="AA1218" i="6"/>
  <c r="AG1217" i="6"/>
  <c r="AG1218" i="6"/>
  <c r="Y1217" i="6"/>
  <c r="AK1216" i="6"/>
  <c r="AI1216" i="6"/>
  <c r="AE1216" i="6"/>
  <c r="AC1216" i="6"/>
  <c r="AA1216" i="6"/>
  <c r="AG1215" i="6"/>
  <c r="AG1216" i="6"/>
  <c r="Y1215" i="6"/>
  <c r="AK1214" i="6"/>
  <c r="AI1214" i="6"/>
  <c r="AE1214" i="6"/>
  <c r="AC1214" i="6"/>
  <c r="AA1214" i="6"/>
  <c r="AG1213" i="6"/>
  <c r="AG1214" i="6"/>
  <c r="Y1213" i="6"/>
  <c r="AK1212" i="6"/>
  <c r="AI1212" i="6"/>
  <c r="AE1212" i="6"/>
  <c r="AC1212" i="6"/>
  <c r="AA1212" i="6"/>
  <c r="AG1211" i="6"/>
  <c r="AG1212" i="6"/>
  <c r="Y1211" i="6"/>
  <c r="AK1210" i="6"/>
  <c r="AI1210" i="6"/>
  <c r="AE1210" i="6"/>
  <c r="AC1210" i="6"/>
  <c r="AA1210" i="6"/>
  <c r="AG1209" i="6"/>
  <c r="AG1210" i="6"/>
  <c r="Y1209" i="6"/>
  <c r="AK1208" i="6"/>
  <c r="AI1208" i="6"/>
  <c r="AE1208" i="6"/>
  <c r="AC1208" i="6"/>
  <c r="AA1208" i="6"/>
  <c r="AG1207" i="6"/>
  <c r="AG1208" i="6"/>
  <c r="Y1207" i="6"/>
  <c r="AK1206" i="6"/>
  <c r="AI1206" i="6"/>
  <c r="AE1206" i="6"/>
  <c r="AC1206" i="6"/>
  <c r="AA1206" i="6"/>
  <c r="AG1205" i="6"/>
  <c r="AG1206" i="6"/>
  <c r="Y1205" i="6"/>
  <c r="AE1197" i="6"/>
  <c r="AC1197" i="6"/>
  <c r="AA1197" i="6"/>
  <c r="Y1196" i="6"/>
  <c r="AE1195" i="6"/>
  <c r="AC1195" i="6"/>
  <c r="AA1195" i="6"/>
  <c r="Y1194" i="6"/>
  <c r="AE1193" i="6"/>
  <c r="AC1193" i="6"/>
  <c r="AA1193" i="6"/>
  <c r="Y1192" i="6"/>
  <c r="AE1191" i="6"/>
  <c r="AC1191" i="6"/>
  <c r="AA1191" i="6"/>
  <c r="Y1190" i="6"/>
  <c r="AE1189" i="6"/>
  <c r="AC1189" i="6"/>
  <c r="AA1189" i="6"/>
  <c r="Y1188" i="6"/>
  <c r="AE1187" i="6"/>
  <c r="AC1187" i="6"/>
  <c r="AA1187" i="6"/>
  <c r="Y1186" i="6"/>
  <c r="AE1185" i="6"/>
  <c r="AC1185" i="6"/>
  <c r="AA1185" i="6"/>
  <c r="Y1184" i="6"/>
  <c r="AE1183" i="6"/>
  <c r="AC1183" i="6"/>
  <c r="AA1183" i="6"/>
  <c r="Y1182" i="6"/>
  <c r="Q1181" i="6"/>
  <c r="Q1182" i="6"/>
  <c r="O1181" i="6"/>
  <c r="O1182" i="6"/>
  <c r="M1181" i="6"/>
  <c r="M1182" i="6"/>
  <c r="K1181" i="6"/>
  <c r="K1182" i="6"/>
  <c r="O1180" i="6"/>
  <c r="O1173" i="6"/>
  <c r="K1180" i="6"/>
  <c r="K1169" i="6"/>
  <c r="Q1179" i="6"/>
  <c r="M1179" i="6"/>
  <c r="Q1177" i="6"/>
  <c r="M1177" i="6"/>
  <c r="AE1176" i="6"/>
  <c r="AC1176" i="6"/>
  <c r="AA1176" i="6"/>
  <c r="Y1175" i="6"/>
  <c r="Q1175" i="6"/>
  <c r="M1175" i="6"/>
  <c r="AE1174" i="6"/>
  <c r="AC1174" i="6"/>
  <c r="AA1174" i="6"/>
  <c r="Y1173" i="6"/>
  <c r="Q1173" i="6"/>
  <c r="M1173" i="6"/>
  <c r="AE1172" i="6"/>
  <c r="AC1172" i="6"/>
  <c r="AA1172" i="6"/>
  <c r="Y1171" i="6"/>
  <c r="Q1171" i="6"/>
  <c r="M1171" i="6"/>
  <c r="AE1170" i="6"/>
  <c r="AC1170" i="6"/>
  <c r="AA1170" i="6"/>
  <c r="Y1169" i="6"/>
  <c r="Q1169" i="6"/>
  <c r="M1169" i="6"/>
  <c r="AE1168" i="6"/>
  <c r="AC1168" i="6"/>
  <c r="AA1168" i="6"/>
  <c r="Y1167" i="6"/>
  <c r="Q1167" i="6"/>
  <c r="M1167" i="6"/>
  <c r="AE1166" i="6"/>
  <c r="AC1166" i="6"/>
  <c r="AA1166" i="6"/>
  <c r="Y1165" i="6"/>
  <c r="Q1165" i="6"/>
  <c r="M1165" i="6"/>
  <c r="AE1164" i="6"/>
  <c r="AC1164" i="6"/>
  <c r="AA1164" i="6"/>
  <c r="Y1163" i="6"/>
  <c r="AE1157" i="6"/>
  <c r="AC1157" i="6"/>
  <c r="AA1157" i="6"/>
  <c r="Y1156" i="6"/>
  <c r="AE1155" i="6"/>
  <c r="AC1155" i="6"/>
  <c r="AA1155" i="6"/>
  <c r="Y1154" i="6"/>
  <c r="AE1153" i="6"/>
  <c r="AC1153" i="6"/>
  <c r="AA1153" i="6"/>
  <c r="Q1153" i="6"/>
  <c r="Q1154" i="6"/>
  <c r="O1153" i="6"/>
  <c r="O1154" i="6"/>
  <c r="M1153" i="6"/>
  <c r="M1154" i="6"/>
  <c r="K1153" i="6"/>
  <c r="K1154" i="6"/>
  <c r="Y1152" i="6"/>
  <c r="K1152" i="6"/>
  <c r="K1151" i="6"/>
  <c r="AE1151" i="6"/>
  <c r="AC1151" i="6"/>
  <c r="AA1151" i="6"/>
  <c r="Q1151" i="6"/>
  <c r="M1151" i="6"/>
  <c r="Y1150" i="6"/>
  <c r="AE1149" i="6"/>
  <c r="AC1149" i="6"/>
  <c r="AA1149" i="6"/>
  <c r="Q1149" i="6"/>
  <c r="M1149" i="6"/>
  <c r="Y1148" i="6"/>
  <c r="AE1147" i="6"/>
  <c r="AC1147" i="6"/>
  <c r="AA1147" i="6"/>
  <c r="Q1147" i="6"/>
  <c r="M1147" i="6"/>
  <c r="Y1146" i="6"/>
  <c r="AE1145" i="6"/>
  <c r="AC1145" i="6"/>
  <c r="AA1145" i="6"/>
  <c r="Q1145" i="6"/>
  <c r="M1145" i="6"/>
  <c r="Y1144" i="6"/>
  <c r="AE1143" i="6"/>
  <c r="AC1143" i="6"/>
  <c r="AA1143" i="6"/>
  <c r="Q1143" i="6"/>
  <c r="M1143" i="6"/>
  <c r="Y1142" i="6"/>
  <c r="Q1141" i="6"/>
  <c r="M1141" i="6"/>
  <c r="Q1139" i="6"/>
  <c r="M1139" i="6"/>
  <c r="Q1137" i="6"/>
  <c r="M1137" i="6"/>
  <c r="AE1136" i="6"/>
  <c r="AC1136" i="6"/>
  <c r="AA1136" i="6"/>
  <c r="Y1135" i="6"/>
  <c r="Q1135" i="6"/>
  <c r="M1135" i="6"/>
  <c r="AE1134" i="6"/>
  <c r="AC1134" i="6"/>
  <c r="AA1134" i="6"/>
  <c r="Y1133" i="6"/>
  <c r="Q1133" i="6"/>
  <c r="M1133" i="6"/>
  <c r="AK1132" i="6"/>
  <c r="AI1132" i="6"/>
  <c r="AE1132" i="6"/>
  <c r="AC1132" i="6"/>
  <c r="AA1132" i="6"/>
  <c r="AG1131" i="6"/>
  <c r="AG1132" i="6"/>
  <c r="Y1131" i="6"/>
  <c r="Q1131" i="6"/>
  <c r="M1131" i="6"/>
  <c r="AK1130" i="6"/>
  <c r="AI1130" i="6"/>
  <c r="AE1130" i="6"/>
  <c r="AC1130" i="6"/>
  <c r="AA1130" i="6"/>
  <c r="AG1129" i="6"/>
  <c r="AG1130" i="6"/>
  <c r="Y1129" i="6"/>
  <c r="Q1129" i="6"/>
  <c r="M1129" i="6"/>
  <c r="AK1128" i="6"/>
  <c r="AI1128" i="6"/>
  <c r="AE1128" i="6"/>
  <c r="AC1128" i="6"/>
  <c r="AA1128" i="6"/>
  <c r="AG1127" i="6"/>
  <c r="AG1128" i="6"/>
  <c r="Y1127" i="6"/>
  <c r="AK1126" i="6"/>
  <c r="AI1126" i="6"/>
  <c r="AE1126" i="6"/>
  <c r="AC1126" i="6"/>
  <c r="AA1126" i="6"/>
  <c r="AG1125" i="6"/>
  <c r="AG1126" i="6"/>
  <c r="Y1125" i="6"/>
  <c r="AK1124" i="6"/>
  <c r="AI1124" i="6"/>
  <c r="AG1123" i="6"/>
  <c r="AG1124" i="6"/>
  <c r="AK1122" i="6"/>
  <c r="AI1122" i="6"/>
  <c r="AE1122" i="6"/>
  <c r="AC1122" i="6"/>
  <c r="AA1122" i="6"/>
  <c r="Q1122" i="6"/>
  <c r="Q1123" i="6"/>
  <c r="O1122" i="6"/>
  <c r="O1123" i="6"/>
  <c r="M1122" i="6"/>
  <c r="M1123" i="6"/>
  <c r="K1122" i="6"/>
  <c r="K1123" i="6"/>
  <c r="AG1121" i="6"/>
  <c r="AG1122" i="6"/>
  <c r="Y1121" i="6"/>
  <c r="O1121" i="6"/>
  <c r="O1118" i="6"/>
  <c r="AK1120" i="6"/>
  <c r="AI1120" i="6"/>
  <c r="AE1120" i="6"/>
  <c r="AC1120" i="6"/>
  <c r="AA1120" i="6"/>
  <c r="Q1120" i="6"/>
  <c r="M1120" i="6"/>
  <c r="AG1119" i="6"/>
  <c r="AG1120" i="6"/>
  <c r="Y1119" i="6"/>
  <c r="AK1118" i="6"/>
  <c r="AI1118" i="6"/>
  <c r="AE1118" i="6"/>
  <c r="AC1118" i="6"/>
  <c r="AA1118" i="6"/>
  <c r="Q1118" i="6"/>
  <c r="M1118" i="6"/>
  <c r="AG1117" i="6"/>
  <c r="AG1118" i="6"/>
  <c r="Y1117" i="6"/>
  <c r="AK1116" i="6"/>
  <c r="AI1116" i="6"/>
  <c r="AE1116" i="6"/>
  <c r="AC1116" i="6"/>
  <c r="AA1116" i="6"/>
  <c r="Q1116" i="6"/>
  <c r="M1116" i="6"/>
  <c r="AG1115" i="6"/>
  <c r="AG1116" i="6"/>
  <c r="Y1115" i="6"/>
  <c r="AK1114" i="6"/>
  <c r="AI1114" i="6"/>
  <c r="AE1114" i="6"/>
  <c r="AC1114" i="6"/>
  <c r="AA1114" i="6"/>
  <c r="Q1114" i="6"/>
  <c r="M1114" i="6"/>
  <c r="AG1113" i="6"/>
  <c r="AG1114" i="6"/>
  <c r="Y1113" i="6"/>
  <c r="Q1112" i="6"/>
  <c r="M1112" i="6"/>
  <c r="Q1110" i="6"/>
  <c r="M1110" i="6"/>
  <c r="Q1108" i="6"/>
  <c r="M1108" i="6"/>
  <c r="AE1106" i="6"/>
  <c r="AC1106" i="6"/>
  <c r="AA1106" i="6"/>
  <c r="Q1106" i="6"/>
  <c r="M1106" i="6"/>
  <c r="AE1105" i="6"/>
  <c r="AC1105" i="6"/>
  <c r="AA1105" i="6"/>
  <c r="Y1104" i="6"/>
  <c r="Q1104" i="6"/>
  <c r="M1104" i="6"/>
  <c r="AE1103" i="6"/>
  <c r="AC1103" i="6"/>
  <c r="AA1103" i="6"/>
  <c r="Y1102" i="6"/>
  <c r="Q1102" i="6"/>
  <c r="M1102" i="6"/>
  <c r="AE1101" i="6"/>
  <c r="AC1101" i="6"/>
  <c r="AA1101" i="6"/>
  <c r="Y1100" i="6"/>
  <c r="Q1100" i="6"/>
  <c r="M1100" i="6"/>
  <c r="AE1099" i="6"/>
  <c r="AC1099" i="6"/>
  <c r="AA1099" i="6"/>
  <c r="Y1098" i="6"/>
  <c r="Q1098" i="6"/>
  <c r="M1098" i="6"/>
  <c r="AE1097" i="6"/>
  <c r="AC1097" i="6"/>
  <c r="AA1097" i="6"/>
  <c r="Y1096" i="6"/>
  <c r="Q1096" i="6"/>
  <c r="M1096" i="6"/>
  <c r="AE1095" i="6"/>
  <c r="AC1095" i="6"/>
  <c r="AA1095" i="6"/>
  <c r="Y1094" i="6"/>
  <c r="Q1094" i="6"/>
  <c r="M1094" i="6"/>
  <c r="AE1093" i="6"/>
  <c r="AC1093" i="6"/>
  <c r="AA1093" i="6"/>
  <c r="Y1092" i="6"/>
  <c r="Q1092" i="6"/>
  <c r="M1092" i="6"/>
  <c r="AE1091" i="6"/>
  <c r="AC1091" i="6"/>
  <c r="AA1091" i="6"/>
  <c r="Y1090" i="6"/>
  <c r="Q1090" i="6"/>
  <c r="M1090" i="6"/>
  <c r="AE1089" i="6"/>
  <c r="AC1089" i="6"/>
  <c r="AA1089" i="6"/>
  <c r="Y1088" i="6"/>
  <c r="Q1088" i="6"/>
  <c r="M1088" i="6"/>
  <c r="Q1086" i="6"/>
  <c r="M1086" i="6"/>
  <c r="Q1084" i="6"/>
  <c r="M1084" i="6"/>
  <c r="Q1082" i="6"/>
  <c r="M1082" i="6"/>
  <c r="AE1081" i="6"/>
  <c r="AC1081" i="6"/>
  <c r="AA1081" i="6"/>
  <c r="AE1080" i="6"/>
  <c r="AC1080" i="6"/>
  <c r="AA1080" i="6"/>
  <c r="Q1080" i="6"/>
  <c r="M1080" i="6"/>
  <c r="Y1079" i="6"/>
  <c r="AE1078" i="6"/>
  <c r="AC1078" i="6"/>
  <c r="AA1078" i="6"/>
  <c r="Q1078" i="6"/>
  <c r="M1078" i="6"/>
  <c r="Y1077" i="6"/>
  <c r="AE1076" i="6"/>
  <c r="AC1076" i="6"/>
  <c r="AA1076" i="6"/>
  <c r="Y1075" i="6"/>
  <c r="AE1074" i="6"/>
  <c r="AC1074" i="6"/>
  <c r="AA1074" i="6"/>
  <c r="Y1073" i="6"/>
  <c r="AE1072" i="6"/>
  <c r="AC1072" i="6"/>
  <c r="AA1072" i="6"/>
  <c r="Q1072" i="6"/>
  <c r="Q1073" i="6"/>
  <c r="O1072" i="6"/>
  <c r="O1073" i="6"/>
  <c r="M1072" i="6"/>
  <c r="M1073" i="6"/>
  <c r="K1072" i="6"/>
  <c r="K1073" i="6"/>
  <c r="Y1071" i="6"/>
  <c r="K1071" i="6"/>
  <c r="K1062" i="6"/>
  <c r="AE1070" i="6"/>
  <c r="AC1070" i="6"/>
  <c r="AA1070" i="6"/>
  <c r="Q1070" i="6"/>
  <c r="M1070" i="6"/>
  <c r="Y1069" i="6"/>
  <c r="AE1068" i="6"/>
  <c r="AC1068" i="6"/>
  <c r="AA1068" i="6"/>
  <c r="Q1068" i="6"/>
  <c r="M1068" i="6"/>
  <c r="Y1067" i="6"/>
  <c r="AE1066" i="6"/>
  <c r="AC1066" i="6"/>
  <c r="AA1066" i="6"/>
  <c r="Q1066" i="6"/>
  <c r="M1066" i="6"/>
  <c r="Y1065" i="6"/>
  <c r="Q1064" i="6"/>
  <c r="M1064" i="6"/>
  <c r="Q1062" i="6"/>
  <c r="M1062" i="6"/>
  <c r="Q1060" i="6"/>
  <c r="M1060" i="6"/>
  <c r="Q1058" i="6"/>
  <c r="M1058" i="6"/>
  <c r="AE1057" i="6"/>
  <c r="AC1057" i="6"/>
  <c r="AA1057" i="6"/>
  <c r="Y1056" i="6"/>
  <c r="Q1056" i="6"/>
  <c r="M1056" i="6"/>
  <c r="AE1055" i="6"/>
  <c r="AC1055" i="6"/>
  <c r="AA1055" i="6"/>
  <c r="Y1054" i="6"/>
  <c r="Q1054" i="6"/>
  <c r="M1054" i="6"/>
  <c r="AE1053" i="6"/>
  <c r="AC1053" i="6"/>
  <c r="AA1053" i="6"/>
  <c r="Y1052" i="6"/>
  <c r="Q1052" i="6"/>
  <c r="M1052" i="6"/>
  <c r="AE1051" i="6"/>
  <c r="AC1051" i="6"/>
  <c r="AA1051" i="6"/>
  <c r="Y1050" i="6"/>
  <c r="AE1049" i="6"/>
  <c r="AC1049" i="6"/>
  <c r="AA1049" i="6"/>
  <c r="Y1048" i="6"/>
  <c r="AE1047" i="6"/>
  <c r="AC1047" i="6"/>
  <c r="AA1047" i="6"/>
  <c r="Y1046" i="6"/>
  <c r="AE1045" i="6"/>
  <c r="AC1045" i="6"/>
  <c r="AA1045" i="6"/>
  <c r="Y1044" i="6"/>
  <c r="AE1043" i="6"/>
  <c r="AC1043" i="6"/>
  <c r="AA1043" i="6"/>
  <c r="Y1042" i="6"/>
  <c r="AK1035" i="6"/>
  <c r="AI1035" i="6"/>
  <c r="AG1035" i="6"/>
  <c r="AE1035" i="6"/>
  <c r="AC1035" i="6"/>
  <c r="AA1035" i="6"/>
  <c r="AK1034" i="6"/>
  <c r="AI1034" i="6"/>
  <c r="AG1034" i="6"/>
  <c r="AE1034" i="6"/>
  <c r="AC1034" i="6"/>
  <c r="AA1034" i="6"/>
  <c r="Y1033" i="6"/>
  <c r="AK1032" i="6"/>
  <c r="AI1032" i="6"/>
  <c r="AG1032" i="6"/>
  <c r="AE1032" i="6"/>
  <c r="AC1032" i="6"/>
  <c r="AA1032" i="6"/>
  <c r="Y1031" i="6"/>
  <c r="AE1030" i="6"/>
  <c r="AC1030" i="6"/>
  <c r="AA1030" i="6"/>
  <c r="Y1029" i="6"/>
  <c r="AK1028" i="6"/>
  <c r="AI1028" i="6"/>
  <c r="AG1028" i="6"/>
  <c r="AE1028" i="6"/>
  <c r="AC1028" i="6"/>
  <c r="AA1028" i="6"/>
  <c r="AM1027" i="6"/>
  <c r="Y1027" i="6"/>
  <c r="AK1026" i="6"/>
  <c r="AI1026" i="6"/>
  <c r="AG1026" i="6"/>
  <c r="AE1026" i="6"/>
  <c r="AC1026" i="6"/>
  <c r="AA1026" i="6"/>
  <c r="AM1025" i="6"/>
  <c r="Y1025" i="6"/>
  <c r="AK1024" i="6"/>
  <c r="AI1024" i="6"/>
  <c r="AG1024" i="6"/>
  <c r="AE1024" i="6"/>
  <c r="AC1024" i="6"/>
  <c r="AA1024" i="6"/>
  <c r="AM1023" i="6"/>
  <c r="Y1023" i="6"/>
  <c r="AK1022" i="6"/>
  <c r="AI1022" i="6"/>
  <c r="AG1022" i="6"/>
  <c r="AE1022" i="6"/>
  <c r="AC1022" i="6"/>
  <c r="AA1022" i="6"/>
  <c r="AM1021" i="6"/>
  <c r="AM1022" i="6"/>
  <c r="Y1021" i="6"/>
  <c r="P1014" i="6"/>
  <c r="O1014" i="6"/>
  <c r="N1014" i="6"/>
  <c r="L1014" i="6"/>
  <c r="K1014" i="6"/>
  <c r="J1014" i="6"/>
  <c r="I1014" i="6"/>
  <c r="H1014" i="6"/>
  <c r="G1014" i="6"/>
  <c r="P1013" i="6"/>
  <c r="O1013" i="6"/>
  <c r="N1013" i="6"/>
  <c r="L1013" i="6"/>
  <c r="K1013" i="6"/>
  <c r="J1013" i="6"/>
  <c r="I1013" i="6"/>
  <c r="H1013" i="6"/>
  <c r="G1013" i="6"/>
  <c r="Q1012" i="6"/>
  <c r="M1012" i="6"/>
  <c r="F1012" i="6"/>
  <c r="P1011" i="6"/>
  <c r="O1011" i="6"/>
  <c r="N1011" i="6"/>
  <c r="L1011" i="6"/>
  <c r="K1011" i="6"/>
  <c r="J1011" i="6"/>
  <c r="I1011" i="6"/>
  <c r="H1011" i="6"/>
  <c r="G1011" i="6"/>
  <c r="Q1010" i="6"/>
  <c r="M1010" i="6"/>
  <c r="F1010" i="6"/>
  <c r="P1009" i="6"/>
  <c r="O1009" i="6"/>
  <c r="N1009" i="6"/>
  <c r="L1009" i="6"/>
  <c r="K1009" i="6"/>
  <c r="J1009" i="6"/>
  <c r="I1009" i="6"/>
  <c r="H1009" i="6"/>
  <c r="G1009" i="6"/>
  <c r="Q1008" i="6"/>
  <c r="M1008" i="6"/>
  <c r="F1008" i="6"/>
  <c r="P1007" i="6"/>
  <c r="P1015" i="6"/>
  <c r="O1007" i="6"/>
  <c r="O1015" i="6"/>
  <c r="N1007" i="6"/>
  <c r="L1007" i="6"/>
  <c r="L1015" i="6"/>
  <c r="K1007" i="6"/>
  <c r="J1007" i="6"/>
  <c r="I1007" i="6"/>
  <c r="H1007" i="6"/>
  <c r="H1015" i="6"/>
  <c r="G1007" i="6"/>
  <c r="Q1006" i="6"/>
  <c r="Q1007" i="6"/>
  <c r="M1006" i="6"/>
  <c r="F1006" i="6"/>
  <c r="P998" i="6"/>
  <c r="O998" i="6"/>
  <c r="N998" i="6"/>
  <c r="L998" i="6"/>
  <c r="K998" i="6"/>
  <c r="J998" i="6"/>
  <c r="I998" i="6"/>
  <c r="H998" i="6"/>
  <c r="G998" i="6"/>
  <c r="P996" i="6"/>
  <c r="O996" i="6"/>
  <c r="N996" i="6"/>
  <c r="L996" i="6"/>
  <c r="K996" i="6"/>
  <c r="J996" i="6"/>
  <c r="I996" i="6"/>
  <c r="H996" i="6"/>
  <c r="G996" i="6"/>
  <c r="Q995" i="6"/>
  <c r="M995" i="6"/>
  <c r="F995" i="6"/>
  <c r="P994" i="6"/>
  <c r="O994" i="6"/>
  <c r="N994" i="6"/>
  <c r="L994" i="6"/>
  <c r="K994" i="6"/>
  <c r="J994" i="6"/>
  <c r="I994" i="6"/>
  <c r="H994" i="6"/>
  <c r="G994" i="6"/>
  <c r="Q993" i="6"/>
  <c r="M993" i="6"/>
  <c r="F993" i="6"/>
  <c r="P992" i="6"/>
  <c r="O992" i="6"/>
  <c r="N992" i="6"/>
  <c r="L992" i="6"/>
  <c r="K992" i="6"/>
  <c r="J992" i="6"/>
  <c r="I992" i="6"/>
  <c r="H992" i="6"/>
  <c r="G992" i="6"/>
  <c r="Q991" i="6"/>
  <c r="M991" i="6"/>
  <c r="F991" i="6"/>
  <c r="P990" i="6"/>
  <c r="O990" i="6"/>
  <c r="N990" i="6"/>
  <c r="L990" i="6"/>
  <c r="K990" i="6"/>
  <c r="J990" i="6"/>
  <c r="I990" i="6"/>
  <c r="H990" i="6"/>
  <c r="G990" i="6"/>
  <c r="Q989" i="6"/>
  <c r="M989" i="6"/>
  <c r="F989" i="6"/>
  <c r="P988" i="6"/>
  <c r="P999" i="6"/>
  <c r="O988" i="6"/>
  <c r="O999" i="6"/>
  <c r="N988" i="6"/>
  <c r="N999" i="6"/>
  <c r="L988" i="6"/>
  <c r="L999" i="6"/>
  <c r="K988" i="6"/>
  <c r="K999" i="6"/>
  <c r="J988" i="6"/>
  <c r="J999" i="6"/>
  <c r="I988" i="6"/>
  <c r="I999" i="6"/>
  <c r="H988" i="6"/>
  <c r="H999" i="6"/>
  <c r="G988" i="6"/>
  <c r="G999" i="6"/>
  <c r="Q987" i="6"/>
  <c r="Q998" i="6"/>
  <c r="M987" i="6"/>
  <c r="F987" i="6"/>
  <c r="F988" i="6"/>
  <c r="AK979" i="6"/>
  <c r="AJ979" i="6"/>
  <c r="AI979" i="6"/>
  <c r="AH979" i="6"/>
  <c r="AG979" i="6"/>
  <c r="AF979" i="6"/>
  <c r="AD979" i="6"/>
  <c r="AC979" i="6"/>
  <c r="AB979" i="6"/>
  <c r="AK978" i="6"/>
  <c r="AJ978" i="6"/>
  <c r="AI978" i="6"/>
  <c r="AH978" i="6"/>
  <c r="AG978" i="6"/>
  <c r="AF978" i="6"/>
  <c r="AD978" i="6"/>
  <c r="AC978" i="6"/>
  <c r="AB978" i="6"/>
  <c r="AL977" i="6"/>
  <c r="AE977" i="6"/>
  <c r="AA977" i="6"/>
  <c r="AK976" i="6"/>
  <c r="AJ976" i="6"/>
  <c r="AI976" i="6"/>
  <c r="AH976" i="6"/>
  <c r="AG976" i="6"/>
  <c r="AF976" i="6"/>
  <c r="AD976" i="6"/>
  <c r="AC976" i="6"/>
  <c r="AB976" i="6"/>
  <c r="AL975" i="6"/>
  <c r="AE975" i="6"/>
  <c r="AA975" i="6"/>
  <c r="AK974" i="6"/>
  <c r="AJ974" i="6"/>
  <c r="AI974" i="6"/>
  <c r="AH974" i="6"/>
  <c r="AG974" i="6"/>
  <c r="AF974" i="6"/>
  <c r="AD974" i="6"/>
  <c r="AC974" i="6"/>
  <c r="AB974" i="6"/>
  <c r="AL973" i="6"/>
  <c r="AE973" i="6"/>
  <c r="AA973" i="6"/>
  <c r="AK972" i="6"/>
  <c r="AJ972" i="6"/>
  <c r="AI972" i="6"/>
  <c r="AH972" i="6"/>
  <c r="AG972" i="6"/>
  <c r="AF972" i="6"/>
  <c r="AD972" i="6"/>
  <c r="AC972" i="6"/>
  <c r="AB972" i="6"/>
  <c r="AL971" i="6"/>
  <c r="AE971" i="6"/>
  <c r="AA971" i="6"/>
  <c r="AK970" i="6"/>
  <c r="AJ970" i="6"/>
  <c r="AI970" i="6"/>
  <c r="AH970" i="6"/>
  <c r="AG970" i="6"/>
  <c r="AF970" i="6"/>
  <c r="AD970" i="6"/>
  <c r="AC970" i="6"/>
  <c r="AB970" i="6"/>
  <c r="AL969" i="6"/>
  <c r="AE969" i="6"/>
  <c r="AA969" i="6"/>
  <c r="AK968" i="6"/>
  <c r="AK980" i="6"/>
  <c r="AJ968" i="6"/>
  <c r="AJ980" i="6"/>
  <c r="AI968" i="6"/>
  <c r="AH968" i="6"/>
  <c r="AH980" i="6"/>
  <c r="AG968" i="6"/>
  <c r="AG980" i="6"/>
  <c r="AF968" i="6"/>
  <c r="AF980" i="6"/>
  <c r="AD968" i="6"/>
  <c r="AD980" i="6"/>
  <c r="AC968" i="6"/>
  <c r="AC980" i="6"/>
  <c r="AB968" i="6"/>
  <c r="AB980" i="6"/>
  <c r="AL967" i="6"/>
  <c r="AL976" i="6"/>
  <c r="AE967" i="6"/>
  <c r="AE968" i="6"/>
  <c r="AA967" i="6"/>
  <c r="AA968" i="6"/>
  <c r="S916" i="6"/>
  <c r="R916" i="6"/>
  <c r="Q916" i="6"/>
  <c r="O916" i="6"/>
  <c r="N916" i="6"/>
  <c r="M916" i="6"/>
  <c r="K916" i="6"/>
  <c r="J916" i="6"/>
  <c r="I916" i="6"/>
  <c r="S915" i="6"/>
  <c r="R915" i="6"/>
  <c r="Q915" i="6"/>
  <c r="O915" i="6"/>
  <c r="N915" i="6"/>
  <c r="M915" i="6"/>
  <c r="K915" i="6"/>
  <c r="J915" i="6"/>
  <c r="I915" i="6"/>
  <c r="P914" i="6"/>
  <c r="L914" i="6"/>
  <c r="H914" i="6"/>
  <c r="S913" i="6"/>
  <c r="R913" i="6"/>
  <c r="Q913" i="6"/>
  <c r="O913" i="6"/>
  <c r="N913" i="6"/>
  <c r="M913" i="6"/>
  <c r="K913" i="6"/>
  <c r="J913" i="6"/>
  <c r="I913" i="6"/>
  <c r="P912" i="6"/>
  <c r="L912" i="6"/>
  <c r="H912" i="6"/>
  <c r="S911" i="6"/>
  <c r="R911" i="6"/>
  <c r="Q911" i="6"/>
  <c r="O911" i="6"/>
  <c r="N911" i="6"/>
  <c r="M911" i="6"/>
  <c r="K911" i="6"/>
  <c r="J911" i="6"/>
  <c r="I911" i="6"/>
  <c r="P910" i="6"/>
  <c r="L910" i="6"/>
  <c r="H910" i="6"/>
  <c r="S909" i="6"/>
  <c r="R909" i="6"/>
  <c r="Q909" i="6"/>
  <c r="O909" i="6"/>
  <c r="N909" i="6"/>
  <c r="M909" i="6"/>
  <c r="K909" i="6"/>
  <c r="J909" i="6"/>
  <c r="I909" i="6"/>
  <c r="P908" i="6"/>
  <c r="L908" i="6"/>
  <c r="H908" i="6"/>
  <c r="S907" i="6"/>
  <c r="R907" i="6"/>
  <c r="Q907" i="6"/>
  <c r="O907" i="6"/>
  <c r="N907" i="6"/>
  <c r="M907" i="6"/>
  <c r="K907" i="6"/>
  <c r="J907" i="6"/>
  <c r="I907" i="6"/>
  <c r="P906" i="6"/>
  <c r="L906" i="6"/>
  <c r="H906" i="6"/>
  <c r="S905" i="6"/>
  <c r="R905" i="6"/>
  <c r="Q905" i="6"/>
  <c r="O905" i="6"/>
  <c r="N905" i="6"/>
  <c r="M905" i="6"/>
  <c r="K905" i="6"/>
  <c r="J905" i="6"/>
  <c r="I905" i="6"/>
  <c r="P904" i="6"/>
  <c r="L904" i="6"/>
  <c r="H904" i="6"/>
  <c r="S903" i="6"/>
  <c r="R903" i="6"/>
  <c r="Q903" i="6"/>
  <c r="O903" i="6"/>
  <c r="N903" i="6"/>
  <c r="M903" i="6"/>
  <c r="K903" i="6"/>
  <c r="J903" i="6"/>
  <c r="I903" i="6"/>
  <c r="P902" i="6"/>
  <c r="L902" i="6"/>
  <c r="H902" i="6"/>
  <c r="S901" i="6"/>
  <c r="R901" i="6"/>
  <c r="Q901" i="6"/>
  <c r="Q917" i="6"/>
  <c r="O901" i="6"/>
  <c r="N901" i="6"/>
  <c r="M901" i="6"/>
  <c r="K901" i="6"/>
  <c r="J901" i="6"/>
  <c r="I901" i="6"/>
  <c r="P900" i="6"/>
  <c r="L900" i="6"/>
  <c r="L911" i="6"/>
  <c r="H900" i="6"/>
  <c r="S863" i="6"/>
  <c r="R863" i="6"/>
  <c r="Q863" i="6"/>
  <c r="O863" i="6"/>
  <c r="N863" i="6"/>
  <c r="M863" i="6"/>
  <c r="K863" i="6"/>
  <c r="J863" i="6"/>
  <c r="I863" i="6"/>
  <c r="S862" i="6"/>
  <c r="R862" i="6"/>
  <c r="Q862" i="6"/>
  <c r="O862" i="6"/>
  <c r="N862" i="6"/>
  <c r="M862" i="6"/>
  <c r="K862" i="6"/>
  <c r="J862" i="6"/>
  <c r="I862" i="6"/>
  <c r="P861" i="6"/>
  <c r="L861" i="6"/>
  <c r="H861" i="6"/>
  <c r="S860" i="6"/>
  <c r="R860" i="6"/>
  <c r="Q860" i="6"/>
  <c r="O860" i="6"/>
  <c r="N860" i="6"/>
  <c r="M860" i="6"/>
  <c r="K860" i="6"/>
  <c r="J860" i="6"/>
  <c r="I860" i="6"/>
  <c r="P859" i="6"/>
  <c r="L859" i="6"/>
  <c r="H859" i="6"/>
  <c r="S858" i="6"/>
  <c r="R858" i="6"/>
  <c r="Q858" i="6"/>
  <c r="O858" i="6"/>
  <c r="N858" i="6"/>
  <c r="M858" i="6"/>
  <c r="K858" i="6"/>
  <c r="J858" i="6"/>
  <c r="I858" i="6"/>
  <c r="P857" i="6"/>
  <c r="L857" i="6"/>
  <c r="H857" i="6"/>
  <c r="S856" i="6"/>
  <c r="R856" i="6"/>
  <c r="Q856" i="6"/>
  <c r="O856" i="6"/>
  <c r="N856" i="6"/>
  <c r="M856" i="6"/>
  <c r="K856" i="6"/>
  <c r="J856" i="6"/>
  <c r="I856" i="6"/>
  <c r="P855" i="6"/>
  <c r="L855" i="6"/>
  <c r="H855" i="6"/>
  <c r="S854" i="6"/>
  <c r="R854" i="6"/>
  <c r="Q854" i="6"/>
  <c r="O854" i="6"/>
  <c r="N854" i="6"/>
  <c r="M854" i="6"/>
  <c r="K854" i="6"/>
  <c r="J854" i="6"/>
  <c r="I854" i="6"/>
  <c r="P853" i="6"/>
  <c r="L853" i="6"/>
  <c r="H853" i="6"/>
  <c r="S852" i="6"/>
  <c r="R852" i="6"/>
  <c r="Q852" i="6"/>
  <c r="O852" i="6"/>
  <c r="N852" i="6"/>
  <c r="M852" i="6"/>
  <c r="K852" i="6"/>
  <c r="J852" i="6"/>
  <c r="I852" i="6"/>
  <c r="P851" i="6"/>
  <c r="L851" i="6"/>
  <c r="H851" i="6"/>
  <c r="S850" i="6"/>
  <c r="R850" i="6"/>
  <c r="Q850" i="6"/>
  <c r="O850" i="6"/>
  <c r="N850" i="6"/>
  <c r="M850" i="6"/>
  <c r="K850" i="6"/>
  <c r="J850" i="6"/>
  <c r="I850" i="6"/>
  <c r="P849" i="6"/>
  <c r="L849" i="6"/>
  <c r="H849" i="6"/>
  <c r="S848" i="6"/>
  <c r="R848" i="6"/>
  <c r="Q848" i="6"/>
  <c r="O848" i="6"/>
  <c r="N848" i="6"/>
  <c r="M848" i="6"/>
  <c r="K848" i="6"/>
  <c r="J848" i="6"/>
  <c r="I848" i="6"/>
  <c r="P847" i="6"/>
  <c r="L847" i="6"/>
  <c r="H847" i="6"/>
  <c r="S846" i="6"/>
  <c r="S864" i="6"/>
  <c r="R846" i="6"/>
  <c r="R864" i="6"/>
  <c r="Q846" i="6"/>
  <c r="Q864" i="6"/>
  <c r="O846" i="6"/>
  <c r="O864" i="6"/>
  <c r="N846" i="6"/>
  <c r="N864" i="6"/>
  <c r="M846" i="6"/>
  <c r="M864" i="6"/>
  <c r="K846" i="6"/>
  <c r="J846" i="6"/>
  <c r="J864" i="6"/>
  <c r="I846" i="6"/>
  <c r="I864" i="6"/>
  <c r="P845" i="6"/>
  <c r="P860" i="6"/>
  <c r="L845" i="6"/>
  <c r="L863" i="6"/>
  <c r="H845" i="6"/>
  <c r="H863" i="6"/>
  <c r="S815" i="6"/>
  <c r="R815" i="6"/>
  <c r="Q815" i="6"/>
  <c r="O815" i="6"/>
  <c r="N815" i="6"/>
  <c r="M815" i="6"/>
  <c r="K815" i="6"/>
  <c r="J815" i="6"/>
  <c r="I815" i="6"/>
  <c r="S812" i="6"/>
  <c r="R812" i="6"/>
  <c r="Q812" i="6"/>
  <c r="O812" i="6"/>
  <c r="N812" i="6"/>
  <c r="M812" i="6"/>
  <c r="K812" i="6"/>
  <c r="J812" i="6"/>
  <c r="I812" i="6"/>
  <c r="P811" i="6"/>
  <c r="L811" i="6"/>
  <c r="H811" i="6"/>
  <c r="S810" i="6"/>
  <c r="R810" i="6"/>
  <c r="Q810" i="6"/>
  <c r="O810" i="6"/>
  <c r="N810" i="6"/>
  <c r="M810" i="6"/>
  <c r="K810" i="6"/>
  <c r="J810" i="6"/>
  <c r="I810" i="6"/>
  <c r="P809" i="6"/>
  <c r="L809" i="6"/>
  <c r="H809" i="6"/>
  <c r="S808" i="6"/>
  <c r="R808" i="6"/>
  <c r="Q808" i="6"/>
  <c r="O808" i="6"/>
  <c r="N808" i="6"/>
  <c r="M808" i="6"/>
  <c r="K808" i="6"/>
  <c r="J808" i="6"/>
  <c r="I808" i="6"/>
  <c r="P807" i="6"/>
  <c r="L807" i="6"/>
  <c r="H807" i="6"/>
  <c r="S806" i="6"/>
  <c r="R806" i="6"/>
  <c r="Q806" i="6"/>
  <c r="O806" i="6"/>
  <c r="N806" i="6"/>
  <c r="M806" i="6"/>
  <c r="K806" i="6"/>
  <c r="J806" i="6"/>
  <c r="I806" i="6"/>
  <c r="P805" i="6"/>
  <c r="L805" i="6"/>
  <c r="H805" i="6"/>
  <c r="S804" i="6"/>
  <c r="R804" i="6"/>
  <c r="Q804" i="6"/>
  <c r="O804" i="6"/>
  <c r="N804" i="6"/>
  <c r="M804" i="6"/>
  <c r="K804" i="6"/>
  <c r="J804" i="6"/>
  <c r="I804" i="6"/>
  <c r="P803" i="6"/>
  <c r="L803" i="6"/>
  <c r="H803" i="6"/>
  <c r="S802" i="6"/>
  <c r="R802" i="6"/>
  <c r="Q802" i="6"/>
  <c r="O802" i="6"/>
  <c r="N802" i="6"/>
  <c r="M802" i="6"/>
  <c r="K802" i="6"/>
  <c r="J802" i="6"/>
  <c r="I802" i="6"/>
  <c r="P801" i="6"/>
  <c r="L801" i="6"/>
  <c r="H801" i="6"/>
  <c r="S800" i="6"/>
  <c r="S816" i="6"/>
  <c r="R800" i="6"/>
  <c r="R816" i="6"/>
  <c r="Q800" i="6"/>
  <c r="Q816" i="6"/>
  <c r="O800" i="6"/>
  <c r="O816" i="6"/>
  <c r="N800" i="6"/>
  <c r="M800" i="6"/>
  <c r="K800" i="6"/>
  <c r="K816" i="6"/>
  <c r="J800" i="6"/>
  <c r="J816" i="6"/>
  <c r="I800" i="6"/>
  <c r="P799" i="6"/>
  <c r="L799" i="6"/>
  <c r="L815" i="6"/>
  <c r="H799" i="6"/>
  <c r="H815" i="6"/>
  <c r="S770" i="6"/>
  <c r="R770" i="6"/>
  <c r="Q770" i="6"/>
  <c r="O770" i="6"/>
  <c r="N770" i="6"/>
  <c r="M770" i="6"/>
  <c r="K770" i="6"/>
  <c r="J770" i="6"/>
  <c r="I770" i="6"/>
  <c r="S767" i="6"/>
  <c r="R767" i="6"/>
  <c r="Q767" i="6"/>
  <c r="O767" i="6"/>
  <c r="N767" i="6"/>
  <c r="M767" i="6"/>
  <c r="K767" i="6"/>
  <c r="J767" i="6"/>
  <c r="I767" i="6"/>
  <c r="P766" i="6"/>
  <c r="L766" i="6"/>
  <c r="H766" i="6"/>
  <c r="S765" i="6"/>
  <c r="R765" i="6"/>
  <c r="Q765" i="6"/>
  <c r="O765" i="6"/>
  <c r="N765" i="6"/>
  <c r="M765" i="6"/>
  <c r="K765" i="6"/>
  <c r="J765" i="6"/>
  <c r="I765" i="6"/>
  <c r="P764" i="6"/>
  <c r="L764" i="6"/>
  <c r="H764" i="6"/>
  <c r="S763" i="6"/>
  <c r="R763" i="6"/>
  <c r="Q763" i="6"/>
  <c r="O763" i="6"/>
  <c r="N763" i="6"/>
  <c r="M763" i="6"/>
  <c r="K763" i="6"/>
  <c r="J763" i="6"/>
  <c r="I763" i="6"/>
  <c r="P762" i="6"/>
  <c r="L762" i="6"/>
  <c r="H762" i="6"/>
  <c r="S761" i="6"/>
  <c r="R761" i="6"/>
  <c r="Q761" i="6"/>
  <c r="O761" i="6"/>
  <c r="N761" i="6"/>
  <c r="M761" i="6"/>
  <c r="K761" i="6"/>
  <c r="J761" i="6"/>
  <c r="I761" i="6"/>
  <c r="P760" i="6"/>
  <c r="L760" i="6"/>
  <c r="H760" i="6"/>
  <c r="S759" i="6"/>
  <c r="R759" i="6"/>
  <c r="Q759" i="6"/>
  <c r="O759" i="6"/>
  <c r="N759" i="6"/>
  <c r="M759" i="6"/>
  <c r="K759" i="6"/>
  <c r="J759" i="6"/>
  <c r="I759" i="6"/>
  <c r="P758" i="6"/>
  <c r="L758" i="6"/>
  <c r="H758" i="6"/>
  <c r="S757" i="6"/>
  <c r="R757" i="6"/>
  <c r="Q757" i="6"/>
  <c r="O757" i="6"/>
  <c r="N757" i="6"/>
  <c r="M757" i="6"/>
  <c r="K757" i="6"/>
  <c r="J757" i="6"/>
  <c r="I757" i="6"/>
  <c r="P756" i="6"/>
  <c r="L756" i="6"/>
  <c r="H756" i="6"/>
  <c r="S755" i="6"/>
  <c r="R755" i="6"/>
  <c r="Q755" i="6"/>
  <c r="O755" i="6"/>
  <c r="N755" i="6"/>
  <c r="M755" i="6"/>
  <c r="K755" i="6"/>
  <c r="J755" i="6"/>
  <c r="I755" i="6"/>
  <c r="P754" i="6"/>
  <c r="L754" i="6"/>
  <c r="H754" i="6"/>
  <c r="S753" i="6"/>
  <c r="R753" i="6"/>
  <c r="Q753" i="6"/>
  <c r="O753" i="6"/>
  <c r="N753" i="6"/>
  <c r="M753" i="6"/>
  <c r="K753" i="6"/>
  <c r="J753" i="6"/>
  <c r="I753" i="6"/>
  <c r="P752" i="6"/>
  <c r="L752" i="6"/>
  <c r="H752" i="6"/>
  <c r="S751" i="6"/>
  <c r="S771" i="6"/>
  <c r="R751" i="6"/>
  <c r="Q751" i="6"/>
  <c r="Q771" i="6"/>
  <c r="O751" i="6"/>
  <c r="O771" i="6"/>
  <c r="N751" i="6"/>
  <c r="M751" i="6"/>
  <c r="K751" i="6"/>
  <c r="J751" i="6"/>
  <c r="J771" i="6"/>
  <c r="I751" i="6"/>
  <c r="P750" i="6"/>
  <c r="P751" i="6"/>
  <c r="L750" i="6"/>
  <c r="H750" i="6"/>
  <c r="H770" i="6"/>
  <c r="Q741" i="6"/>
  <c r="P741" i="6"/>
  <c r="O741" i="6"/>
  <c r="M741" i="6"/>
  <c r="L741" i="6"/>
  <c r="K741" i="6"/>
  <c r="I741" i="6"/>
  <c r="H741" i="6"/>
  <c r="G741" i="6"/>
  <c r="Q740" i="6"/>
  <c r="P740" i="6"/>
  <c r="O740" i="6"/>
  <c r="M740" i="6"/>
  <c r="L740" i="6"/>
  <c r="K740" i="6"/>
  <c r="I740" i="6"/>
  <c r="H740" i="6"/>
  <c r="G740" i="6"/>
  <c r="N739" i="6"/>
  <c r="J739" i="6"/>
  <c r="F739" i="6"/>
  <c r="Q738" i="6"/>
  <c r="P738" i="6"/>
  <c r="O738" i="6"/>
  <c r="M738" i="6"/>
  <c r="L738" i="6"/>
  <c r="K738" i="6"/>
  <c r="I738" i="6"/>
  <c r="H738" i="6"/>
  <c r="G738" i="6"/>
  <c r="N737" i="6"/>
  <c r="J737" i="6"/>
  <c r="F737" i="6"/>
  <c r="Q736" i="6"/>
  <c r="P736" i="6"/>
  <c r="O736" i="6"/>
  <c r="M736" i="6"/>
  <c r="L736" i="6"/>
  <c r="K736" i="6"/>
  <c r="I736" i="6"/>
  <c r="H736" i="6"/>
  <c r="G736" i="6"/>
  <c r="N735" i="6"/>
  <c r="J735" i="6"/>
  <c r="F735" i="6"/>
  <c r="Q734" i="6"/>
  <c r="P734" i="6"/>
  <c r="O734" i="6"/>
  <c r="M734" i="6"/>
  <c r="L734" i="6"/>
  <c r="K734" i="6"/>
  <c r="I734" i="6"/>
  <c r="H734" i="6"/>
  <c r="G734" i="6"/>
  <c r="N733" i="6"/>
  <c r="J733" i="6"/>
  <c r="F733" i="6"/>
  <c r="Q732" i="6"/>
  <c r="P732" i="6"/>
  <c r="O732" i="6"/>
  <c r="M732" i="6"/>
  <c r="M742" i="6"/>
  <c r="L732" i="6"/>
  <c r="K732" i="6"/>
  <c r="I732" i="6"/>
  <c r="H732" i="6"/>
  <c r="H742" i="6"/>
  <c r="G732" i="6"/>
  <c r="N731" i="6"/>
  <c r="J731" i="6"/>
  <c r="F731" i="6"/>
  <c r="F732" i="6"/>
  <c r="R723" i="6"/>
  <c r="Q723" i="6"/>
  <c r="P723" i="6"/>
  <c r="J723" i="6"/>
  <c r="I723" i="6"/>
  <c r="H723" i="6"/>
  <c r="R722" i="6"/>
  <c r="Q722" i="6"/>
  <c r="P722" i="6"/>
  <c r="J722" i="6"/>
  <c r="I722" i="6"/>
  <c r="H722" i="6"/>
  <c r="O721" i="6"/>
  <c r="N721" i="6"/>
  <c r="M721" i="6"/>
  <c r="L721" i="6"/>
  <c r="G721" i="6"/>
  <c r="R720" i="6"/>
  <c r="Q720" i="6"/>
  <c r="P720" i="6"/>
  <c r="J720" i="6"/>
  <c r="I720" i="6"/>
  <c r="H720" i="6"/>
  <c r="O719" i="6"/>
  <c r="N719" i="6"/>
  <c r="M719" i="6"/>
  <c r="L719" i="6"/>
  <c r="G719" i="6"/>
  <c r="R718" i="6"/>
  <c r="Q718" i="6"/>
  <c r="P718" i="6"/>
  <c r="J718" i="6"/>
  <c r="I718" i="6"/>
  <c r="H718" i="6"/>
  <c r="O717" i="6"/>
  <c r="N717" i="6"/>
  <c r="M717" i="6"/>
  <c r="L717" i="6"/>
  <c r="G717" i="6"/>
  <c r="R716" i="6"/>
  <c r="Q716" i="6"/>
  <c r="P716" i="6"/>
  <c r="J716" i="6"/>
  <c r="I716" i="6"/>
  <c r="H716" i="6"/>
  <c r="O715" i="6"/>
  <c r="N715" i="6"/>
  <c r="M715" i="6"/>
  <c r="L715" i="6"/>
  <c r="G715" i="6"/>
  <c r="R714" i="6"/>
  <c r="Q714" i="6"/>
  <c r="P714" i="6"/>
  <c r="J714" i="6"/>
  <c r="I714" i="6"/>
  <c r="H714" i="6"/>
  <c r="O713" i="6"/>
  <c r="N713" i="6"/>
  <c r="M713" i="6"/>
  <c r="L713" i="6"/>
  <c r="G713" i="6"/>
  <c r="R712" i="6"/>
  <c r="Q712" i="6"/>
  <c r="P712" i="6"/>
  <c r="J712" i="6"/>
  <c r="I712" i="6"/>
  <c r="H712" i="6"/>
  <c r="O711" i="6"/>
  <c r="N711" i="6"/>
  <c r="M711" i="6"/>
  <c r="L711" i="6"/>
  <c r="G711" i="6"/>
  <c r="R710" i="6"/>
  <c r="Q710" i="6"/>
  <c r="P710" i="6"/>
  <c r="J710" i="6"/>
  <c r="I710" i="6"/>
  <c r="H710" i="6"/>
  <c r="O709" i="6"/>
  <c r="N709" i="6"/>
  <c r="M709" i="6"/>
  <c r="L709" i="6"/>
  <c r="G709" i="6"/>
  <c r="R708" i="6"/>
  <c r="Q708" i="6"/>
  <c r="P708" i="6"/>
  <c r="J708" i="6"/>
  <c r="I708" i="6"/>
  <c r="H708" i="6"/>
  <c r="O707" i="6"/>
  <c r="N707" i="6"/>
  <c r="M707" i="6"/>
  <c r="L707" i="6"/>
  <c r="G707" i="6"/>
  <c r="R706" i="6"/>
  <c r="Q706" i="6"/>
  <c r="P706" i="6"/>
  <c r="J706" i="6"/>
  <c r="I706" i="6"/>
  <c r="H706" i="6"/>
  <c r="O705" i="6"/>
  <c r="N705" i="6"/>
  <c r="M705" i="6"/>
  <c r="L705" i="6"/>
  <c r="G705" i="6"/>
  <c r="Q697" i="6"/>
  <c r="P697" i="6"/>
  <c r="O697" i="6"/>
  <c r="M697" i="6"/>
  <c r="L697" i="6"/>
  <c r="K697" i="6"/>
  <c r="I697" i="6"/>
  <c r="H697" i="6"/>
  <c r="G697" i="6"/>
  <c r="Q696" i="6"/>
  <c r="P696" i="6"/>
  <c r="O696" i="6"/>
  <c r="M696" i="6"/>
  <c r="L696" i="6"/>
  <c r="K696" i="6"/>
  <c r="I696" i="6"/>
  <c r="H696" i="6"/>
  <c r="G696" i="6"/>
  <c r="N695" i="6"/>
  <c r="J695" i="6"/>
  <c r="F695" i="6"/>
  <c r="Q694" i="6"/>
  <c r="P694" i="6"/>
  <c r="O694" i="6"/>
  <c r="M694" i="6"/>
  <c r="M698" i="6"/>
  <c r="L694" i="6"/>
  <c r="K694" i="6"/>
  <c r="I694" i="6"/>
  <c r="I698" i="6"/>
  <c r="H694" i="6"/>
  <c r="G694" i="6"/>
  <c r="N693" i="6"/>
  <c r="J693" i="6"/>
  <c r="J697" i="6"/>
  <c r="F693" i="6"/>
  <c r="AG667" i="6"/>
  <c r="AF667" i="6"/>
  <c r="AE667" i="6"/>
  <c r="AC667" i="6"/>
  <c r="AB667" i="6"/>
  <c r="AA667" i="6"/>
  <c r="M667" i="6"/>
  <c r="L667" i="6"/>
  <c r="K667" i="6"/>
  <c r="I667" i="6"/>
  <c r="H667" i="6"/>
  <c r="G667" i="6"/>
  <c r="AG666" i="6"/>
  <c r="AF666" i="6"/>
  <c r="AE666" i="6"/>
  <c r="AC666" i="6"/>
  <c r="AB666" i="6"/>
  <c r="AA666" i="6"/>
  <c r="M666" i="6"/>
  <c r="L666" i="6"/>
  <c r="K666" i="6"/>
  <c r="I666" i="6"/>
  <c r="H666" i="6"/>
  <c r="G666" i="6"/>
  <c r="AD665" i="6"/>
  <c r="Z665" i="6"/>
  <c r="J665" i="6"/>
  <c r="F665" i="6"/>
  <c r="AG664" i="6"/>
  <c r="AF664" i="6"/>
  <c r="AE664" i="6"/>
  <c r="AC664" i="6"/>
  <c r="AB664" i="6"/>
  <c r="AA664" i="6"/>
  <c r="M664" i="6"/>
  <c r="L664" i="6"/>
  <c r="K664" i="6"/>
  <c r="I664" i="6"/>
  <c r="H664" i="6"/>
  <c r="G664" i="6"/>
  <c r="AD663" i="6"/>
  <c r="Z663" i="6"/>
  <c r="J663" i="6"/>
  <c r="F663" i="6"/>
  <c r="AG662" i="6"/>
  <c r="AF662" i="6"/>
  <c r="AE662" i="6"/>
  <c r="AC662" i="6"/>
  <c r="AB662" i="6"/>
  <c r="AA662" i="6"/>
  <c r="M662" i="6"/>
  <c r="L662" i="6"/>
  <c r="K662" i="6"/>
  <c r="I662" i="6"/>
  <c r="H662" i="6"/>
  <c r="G662" i="6"/>
  <c r="AD661" i="6"/>
  <c r="Z661" i="6"/>
  <c r="J661" i="6"/>
  <c r="F661" i="6"/>
  <c r="AG660" i="6"/>
  <c r="AG668" i="6"/>
  <c r="AF660" i="6"/>
  <c r="AF668" i="6"/>
  <c r="AE660" i="6"/>
  <c r="AE668" i="6"/>
  <c r="AC660" i="6"/>
  <c r="AC668" i="6"/>
  <c r="AB660" i="6"/>
  <c r="AB668" i="6"/>
  <c r="AA660" i="6"/>
  <c r="AA668" i="6"/>
  <c r="M660" i="6"/>
  <c r="M668" i="6"/>
  <c r="L660" i="6"/>
  <c r="L668" i="6"/>
  <c r="K660" i="6"/>
  <c r="K668" i="6"/>
  <c r="I660" i="6"/>
  <c r="I668" i="6"/>
  <c r="H660" i="6"/>
  <c r="H668" i="6"/>
  <c r="G660" i="6"/>
  <c r="G668" i="6"/>
  <c r="AD659" i="6"/>
  <c r="AD667" i="6"/>
  <c r="Z659" i="6"/>
  <c r="J659" i="6"/>
  <c r="J667" i="6"/>
  <c r="F659" i="6"/>
  <c r="F667" i="6"/>
  <c r="Q651" i="6"/>
  <c r="P651" i="6"/>
  <c r="O651" i="6"/>
  <c r="M651" i="6"/>
  <c r="L651" i="6"/>
  <c r="K651" i="6"/>
  <c r="I651" i="6"/>
  <c r="H651" i="6"/>
  <c r="G651" i="6"/>
  <c r="Q650" i="6"/>
  <c r="P650" i="6"/>
  <c r="O650" i="6"/>
  <c r="M650" i="6"/>
  <c r="L650" i="6"/>
  <c r="K650" i="6"/>
  <c r="I650" i="6"/>
  <c r="H650" i="6"/>
  <c r="G650" i="6"/>
  <c r="N649" i="6"/>
  <c r="J649" i="6"/>
  <c r="F649" i="6"/>
  <c r="Q648" i="6"/>
  <c r="P648" i="6"/>
  <c r="O648" i="6"/>
  <c r="M648" i="6"/>
  <c r="L648" i="6"/>
  <c r="K648" i="6"/>
  <c r="I648" i="6"/>
  <c r="H648" i="6"/>
  <c r="G648" i="6"/>
  <c r="N647" i="6"/>
  <c r="J647" i="6"/>
  <c r="F647" i="6"/>
  <c r="Q646" i="6"/>
  <c r="P646" i="6"/>
  <c r="O646" i="6"/>
  <c r="M646" i="6"/>
  <c r="L646" i="6"/>
  <c r="K646" i="6"/>
  <c r="I646" i="6"/>
  <c r="H646" i="6"/>
  <c r="G646" i="6"/>
  <c r="N645" i="6"/>
  <c r="J645" i="6"/>
  <c r="F645" i="6"/>
  <c r="Q644" i="6"/>
  <c r="P644" i="6"/>
  <c r="O644" i="6"/>
  <c r="M644" i="6"/>
  <c r="L644" i="6"/>
  <c r="K644" i="6"/>
  <c r="I644" i="6"/>
  <c r="I652" i="6"/>
  <c r="H644" i="6"/>
  <c r="G644" i="6"/>
  <c r="N643" i="6"/>
  <c r="J643" i="6"/>
  <c r="J651" i="6"/>
  <c r="F643" i="6"/>
  <c r="Q635" i="6"/>
  <c r="P635" i="6"/>
  <c r="O635" i="6"/>
  <c r="M635" i="6"/>
  <c r="L635" i="6"/>
  <c r="K635" i="6"/>
  <c r="I635" i="6"/>
  <c r="H635" i="6"/>
  <c r="G635" i="6"/>
  <c r="Q634" i="6"/>
  <c r="P634" i="6"/>
  <c r="O634" i="6"/>
  <c r="M634" i="6"/>
  <c r="L634" i="6"/>
  <c r="K634" i="6"/>
  <c r="I634" i="6"/>
  <c r="H634" i="6"/>
  <c r="G634" i="6"/>
  <c r="N633" i="6"/>
  <c r="J633" i="6"/>
  <c r="F633" i="6"/>
  <c r="Q632" i="6"/>
  <c r="P632" i="6"/>
  <c r="O632" i="6"/>
  <c r="M632" i="6"/>
  <c r="L632" i="6"/>
  <c r="K632" i="6"/>
  <c r="I632" i="6"/>
  <c r="H632" i="6"/>
  <c r="G632" i="6"/>
  <c r="N631" i="6"/>
  <c r="J631" i="6"/>
  <c r="F631" i="6"/>
  <c r="Q630" i="6"/>
  <c r="P630" i="6"/>
  <c r="O630" i="6"/>
  <c r="M630" i="6"/>
  <c r="L630" i="6"/>
  <c r="K630" i="6"/>
  <c r="I630" i="6"/>
  <c r="H630" i="6"/>
  <c r="G630" i="6"/>
  <c r="N629" i="6"/>
  <c r="J629" i="6"/>
  <c r="F629" i="6"/>
  <c r="Q628" i="6"/>
  <c r="P628" i="6"/>
  <c r="P636" i="6"/>
  <c r="O628" i="6"/>
  <c r="M628" i="6"/>
  <c r="M636" i="6"/>
  <c r="L628" i="6"/>
  <c r="K628" i="6"/>
  <c r="I628" i="6"/>
  <c r="I636" i="6"/>
  <c r="H628" i="6"/>
  <c r="G628" i="6"/>
  <c r="N627" i="6"/>
  <c r="J627" i="6"/>
  <c r="F627" i="6"/>
  <c r="F635" i="6"/>
  <c r="Q619" i="6"/>
  <c r="P619" i="6"/>
  <c r="O619" i="6"/>
  <c r="M619" i="6"/>
  <c r="L619" i="6"/>
  <c r="K619" i="6"/>
  <c r="I619" i="6"/>
  <c r="H619" i="6"/>
  <c r="G619" i="6"/>
  <c r="Q618" i="6"/>
  <c r="P618" i="6"/>
  <c r="O618" i="6"/>
  <c r="M618" i="6"/>
  <c r="L618" i="6"/>
  <c r="K618" i="6"/>
  <c r="I618" i="6"/>
  <c r="H618" i="6"/>
  <c r="G618" i="6"/>
  <c r="N617" i="6"/>
  <c r="J617" i="6"/>
  <c r="F617" i="6"/>
  <c r="Q616" i="6"/>
  <c r="P616" i="6"/>
  <c r="O616" i="6"/>
  <c r="M616" i="6"/>
  <c r="L616" i="6"/>
  <c r="K616" i="6"/>
  <c r="I616" i="6"/>
  <c r="H616" i="6"/>
  <c r="G616" i="6"/>
  <c r="N615" i="6"/>
  <c r="J615" i="6"/>
  <c r="F615" i="6"/>
  <c r="Q614" i="6"/>
  <c r="P614" i="6"/>
  <c r="O614" i="6"/>
  <c r="M614" i="6"/>
  <c r="L614" i="6"/>
  <c r="K614" i="6"/>
  <c r="I614" i="6"/>
  <c r="H614" i="6"/>
  <c r="G614" i="6"/>
  <c r="N613" i="6"/>
  <c r="J613" i="6"/>
  <c r="F613" i="6"/>
  <c r="Q612" i="6"/>
  <c r="P612" i="6"/>
  <c r="O612" i="6"/>
  <c r="M612" i="6"/>
  <c r="L612" i="6"/>
  <c r="L620" i="6"/>
  <c r="K612" i="6"/>
  <c r="I612" i="6"/>
  <c r="I620" i="6"/>
  <c r="H612" i="6"/>
  <c r="G612" i="6"/>
  <c r="N611" i="6"/>
  <c r="J611" i="6"/>
  <c r="J619" i="6"/>
  <c r="F611" i="6"/>
  <c r="Q603" i="6"/>
  <c r="P603" i="6"/>
  <c r="O603" i="6"/>
  <c r="M603" i="6"/>
  <c r="L603" i="6"/>
  <c r="K603" i="6"/>
  <c r="I603" i="6"/>
  <c r="H603" i="6"/>
  <c r="G603" i="6"/>
  <c r="Q602" i="6"/>
  <c r="P602" i="6"/>
  <c r="O602" i="6"/>
  <c r="M602" i="6"/>
  <c r="L602" i="6"/>
  <c r="K602" i="6"/>
  <c r="I602" i="6"/>
  <c r="H602" i="6"/>
  <c r="G602" i="6"/>
  <c r="N601" i="6"/>
  <c r="J601" i="6"/>
  <c r="F601" i="6"/>
  <c r="Q600" i="6"/>
  <c r="P600" i="6"/>
  <c r="O600" i="6"/>
  <c r="M600" i="6"/>
  <c r="L600" i="6"/>
  <c r="K600" i="6"/>
  <c r="I600" i="6"/>
  <c r="H600" i="6"/>
  <c r="G600" i="6"/>
  <c r="N599" i="6"/>
  <c r="J599" i="6"/>
  <c r="F599" i="6"/>
  <c r="Q598" i="6"/>
  <c r="P598" i="6"/>
  <c r="O598" i="6"/>
  <c r="M598" i="6"/>
  <c r="L598" i="6"/>
  <c r="K598" i="6"/>
  <c r="I598" i="6"/>
  <c r="H598" i="6"/>
  <c r="G598" i="6"/>
  <c r="N597" i="6"/>
  <c r="J597" i="6"/>
  <c r="F597" i="6"/>
  <c r="Q596" i="6"/>
  <c r="P596" i="6"/>
  <c r="O596" i="6"/>
  <c r="M596" i="6"/>
  <c r="L596" i="6"/>
  <c r="K596" i="6"/>
  <c r="I596" i="6"/>
  <c r="H596" i="6"/>
  <c r="H604" i="6"/>
  <c r="G596" i="6"/>
  <c r="N595" i="6"/>
  <c r="J595" i="6"/>
  <c r="F595" i="6"/>
  <c r="Q587" i="6"/>
  <c r="P587" i="6"/>
  <c r="O587" i="6"/>
  <c r="M587" i="6"/>
  <c r="L587" i="6"/>
  <c r="K587" i="6"/>
  <c r="I587" i="6"/>
  <c r="H587" i="6"/>
  <c r="G587" i="6"/>
  <c r="Q586" i="6"/>
  <c r="P586" i="6"/>
  <c r="O586" i="6"/>
  <c r="M586" i="6"/>
  <c r="L586" i="6"/>
  <c r="K586" i="6"/>
  <c r="I586" i="6"/>
  <c r="H586" i="6"/>
  <c r="G586" i="6"/>
  <c r="N585" i="6"/>
  <c r="J585" i="6"/>
  <c r="F585" i="6"/>
  <c r="Q584" i="6"/>
  <c r="P584" i="6"/>
  <c r="O584" i="6"/>
  <c r="M584" i="6"/>
  <c r="L584" i="6"/>
  <c r="K584" i="6"/>
  <c r="I584" i="6"/>
  <c r="H584" i="6"/>
  <c r="G584" i="6"/>
  <c r="N583" i="6"/>
  <c r="J583" i="6"/>
  <c r="F583" i="6"/>
  <c r="Q582" i="6"/>
  <c r="P582" i="6"/>
  <c r="O582" i="6"/>
  <c r="M582" i="6"/>
  <c r="L582" i="6"/>
  <c r="K582" i="6"/>
  <c r="I582" i="6"/>
  <c r="H582" i="6"/>
  <c r="G582" i="6"/>
  <c r="N581" i="6"/>
  <c r="J581" i="6"/>
  <c r="F581" i="6"/>
  <c r="Q580" i="6"/>
  <c r="P580" i="6"/>
  <c r="O580" i="6"/>
  <c r="M580" i="6"/>
  <c r="M588" i="6"/>
  <c r="L580" i="6"/>
  <c r="L588" i="6"/>
  <c r="K580" i="6"/>
  <c r="I580" i="6"/>
  <c r="I588" i="6"/>
  <c r="H580" i="6"/>
  <c r="G580" i="6"/>
  <c r="N579" i="6"/>
  <c r="J579" i="6"/>
  <c r="J580" i="6"/>
  <c r="F579" i="6"/>
  <c r="Q571" i="6"/>
  <c r="P571" i="6"/>
  <c r="O571" i="6"/>
  <c r="M571" i="6"/>
  <c r="L571" i="6"/>
  <c r="K571" i="6"/>
  <c r="I571" i="6"/>
  <c r="H571" i="6"/>
  <c r="G571" i="6"/>
  <c r="Q570" i="6"/>
  <c r="P570" i="6"/>
  <c r="O570" i="6"/>
  <c r="M570" i="6"/>
  <c r="L570" i="6"/>
  <c r="K570" i="6"/>
  <c r="I570" i="6"/>
  <c r="H570" i="6"/>
  <c r="G570" i="6"/>
  <c r="N569" i="6"/>
  <c r="J569" i="6"/>
  <c r="F569" i="6"/>
  <c r="Q568" i="6"/>
  <c r="P568" i="6"/>
  <c r="O568" i="6"/>
  <c r="M568" i="6"/>
  <c r="L568" i="6"/>
  <c r="K568" i="6"/>
  <c r="I568" i="6"/>
  <c r="H568" i="6"/>
  <c r="G568" i="6"/>
  <c r="N567" i="6"/>
  <c r="J567" i="6"/>
  <c r="F567" i="6"/>
  <c r="Q566" i="6"/>
  <c r="P566" i="6"/>
  <c r="O566" i="6"/>
  <c r="M566" i="6"/>
  <c r="L566" i="6"/>
  <c r="K566" i="6"/>
  <c r="I566" i="6"/>
  <c r="H566" i="6"/>
  <c r="G566" i="6"/>
  <c r="N565" i="6"/>
  <c r="J565" i="6"/>
  <c r="F565" i="6"/>
  <c r="Q564" i="6"/>
  <c r="Q572" i="6"/>
  <c r="P564" i="6"/>
  <c r="P572" i="6"/>
  <c r="O564" i="6"/>
  <c r="M564" i="6"/>
  <c r="M572" i="6"/>
  <c r="L564" i="6"/>
  <c r="K564" i="6"/>
  <c r="I564" i="6"/>
  <c r="H564" i="6"/>
  <c r="H572" i="6"/>
  <c r="G564" i="6"/>
  <c r="N563" i="6"/>
  <c r="J563" i="6"/>
  <c r="F563" i="6"/>
  <c r="F564" i="6"/>
  <c r="Q555" i="6"/>
  <c r="P555" i="6"/>
  <c r="O555" i="6"/>
  <c r="M555" i="6"/>
  <c r="L555" i="6"/>
  <c r="K555" i="6"/>
  <c r="I555" i="6"/>
  <c r="H555" i="6"/>
  <c r="G555" i="6"/>
  <c r="Q554" i="6"/>
  <c r="P554" i="6"/>
  <c r="O554" i="6"/>
  <c r="M554" i="6"/>
  <c r="L554" i="6"/>
  <c r="K554" i="6"/>
  <c r="I554" i="6"/>
  <c r="H554" i="6"/>
  <c r="G554" i="6"/>
  <c r="N553" i="6"/>
  <c r="J553" i="6"/>
  <c r="F553" i="6"/>
  <c r="Q552" i="6"/>
  <c r="P552" i="6"/>
  <c r="O552" i="6"/>
  <c r="M552" i="6"/>
  <c r="L552" i="6"/>
  <c r="K552" i="6"/>
  <c r="I552" i="6"/>
  <c r="H552" i="6"/>
  <c r="G552" i="6"/>
  <c r="N551" i="6"/>
  <c r="J551" i="6"/>
  <c r="F551" i="6"/>
  <c r="Q550" i="6"/>
  <c r="P550" i="6"/>
  <c r="O550" i="6"/>
  <c r="M550" i="6"/>
  <c r="L550" i="6"/>
  <c r="K550" i="6"/>
  <c r="I550" i="6"/>
  <c r="H550" i="6"/>
  <c r="G550" i="6"/>
  <c r="N549" i="6"/>
  <c r="J549" i="6"/>
  <c r="F549" i="6"/>
  <c r="Q548" i="6"/>
  <c r="Q556" i="6"/>
  <c r="P548" i="6"/>
  <c r="O548" i="6"/>
  <c r="M548" i="6"/>
  <c r="M556" i="6"/>
  <c r="L548" i="6"/>
  <c r="K548" i="6"/>
  <c r="I548" i="6"/>
  <c r="I556" i="6"/>
  <c r="H548" i="6"/>
  <c r="G548" i="6"/>
  <c r="N547" i="6"/>
  <c r="J547" i="6"/>
  <c r="J555" i="6"/>
  <c r="F547" i="6"/>
  <c r="Q538" i="6"/>
  <c r="P538" i="6"/>
  <c r="O538" i="6"/>
  <c r="M538" i="6"/>
  <c r="L538" i="6"/>
  <c r="K538" i="6"/>
  <c r="I538" i="6"/>
  <c r="H538" i="6"/>
  <c r="G538" i="6"/>
  <c r="Q537" i="6"/>
  <c r="P537" i="6"/>
  <c r="O537" i="6"/>
  <c r="M537" i="6"/>
  <c r="L537" i="6"/>
  <c r="K537" i="6"/>
  <c r="I537" i="6"/>
  <c r="H537" i="6"/>
  <c r="G537" i="6"/>
  <c r="N536" i="6"/>
  <c r="J536" i="6"/>
  <c r="F536" i="6"/>
  <c r="Q535" i="6"/>
  <c r="P535" i="6"/>
  <c r="O535" i="6"/>
  <c r="M535" i="6"/>
  <c r="L535" i="6"/>
  <c r="K535" i="6"/>
  <c r="I535" i="6"/>
  <c r="H535" i="6"/>
  <c r="G535" i="6"/>
  <c r="N534" i="6"/>
  <c r="J534" i="6"/>
  <c r="F534" i="6"/>
  <c r="Q533" i="6"/>
  <c r="P533" i="6"/>
  <c r="O533" i="6"/>
  <c r="M533" i="6"/>
  <c r="L533" i="6"/>
  <c r="K533" i="6"/>
  <c r="I533" i="6"/>
  <c r="H533" i="6"/>
  <c r="G533" i="6"/>
  <c r="N532" i="6"/>
  <c r="J532" i="6"/>
  <c r="F532" i="6"/>
  <c r="Q531" i="6"/>
  <c r="P531" i="6"/>
  <c r="O531" i="6"/>
  <c r="M531" i="6"/>
  <c r="L531" i="6"/>
  <c r="K531" i="6"/>
  <c r="I531" i="6"/>
  <c r="I539" i="6"/>
  <c r="H531" i="6"/>
  <c r="G531" i="6"/>
  <c r="N530" i="6"/>
  <c r="J530" i="6"/>
  <c r="F530" i="6"/>
  <c r="Q522" i="6"/>
  <c r="P522" i="6"/>
  <c r="O522" i="6"/>
  <c r="M522" i="6"/>
  <c r="L522" i="6"/>
  <c r="K522" i="6"/>
  <c r="I522" i="6"/>
  <c r="H522" i="6"/>
  <c r="G522" i="6"/>
  <c r="Q521" i="6"/>
  <c r="P521" i="6"/>
  <c r="O521" i="6"/>
  <c r="M521" i="6"/>
  <c r="L521" i="6"/>
  <c r="K521" i="6"/>
  <c r="I521" i="6"/>
  <c r="H521" i="6"/>
  <c r="G521" i="6"/>
  <c r="N520" i="6"/>
  <c r="J520" i="6"/>
  <c r="F520" i="6"/>
  <c r="Q519" i="6"/>
  <c r="P519" i="6"/>
  <c r="O519" i="6"/>
  <c r="M519" i="6"/>
  <c r="L519" i="6"/>
  <c r="K519" i="6"/>
  <c r="I519" i="6"/>
  <c r="H519" i="6"/>
  <c r="G519" i="6"/>
  <c r="N518" i="6"/>
  <c r="J518" i="6"/>
  <c r="F518" i="6"/>
  <c r="Q517" i="6"/>
  <c r="P517" i="6"/>
  <c r="O517" i="6"/>
  <c r="M517" i="6"/>
  <c r="L517" i="6"/>
  <c r="K517" i="6"/>
  <c r="I517" i="6"/>
  <c r="H517" i="6"/>
  <c r="G517" i="6"/>
  <c r="N516" i="6"/>
  <c r="J516" i="6"/>
  <c r="F516" i="6"/>
  <c r="Q515" i="6"/>
  <c r="P515" i="6"/>
  <c r="O515" i="6"/>
  <c r="M515" i="6"/>
  <c r="L515" i="6"/>
  <c r="K515" i="6"/>
  <c r="I515" i="6"/>
  <c r="H515" i="6"/>
  <c r="G515" i="6"/>
  <c r="N514" i="6"/>
  <c r="J514" i="6"/>
  <c r="F514" i="6"/>
  <c r="Q513" i="6"/>
  <c r="P513" i="6"/>
  <c r="O513" i="6"/>
  <c r="M513" i="6"/>
  <c r="M523" i="6"/>
  <c r="L513" i="6"/>
  <c r="K513" i="6"/>
  <c r="I513" i="6"/>
  <c r="H513" i="6"/>
  <c r="H523" i="6"/>
  <c r="G513" i="6"/>
  <c r="N512" i="6"/>
  <c r="J512" i="6"/>
  <c r="F512" i="6"/>
  <c r="R504" i="6"/>
  <c r="Q504" i="6"/>
  <c r="P504" i="6"/>
  <c r="N504" i="6"/>
  <c r="M504" i="6"/>
  <c r="L504" i="6"/>
  <c r="J504" i="6"/>
  <c r="I504" i="6"/>
  <c r="H504" i="6"/>
  <c r="R503" i="6"/>
  <c r="Q503" i="6"/>
  <c r="P503" i="6"/>
  <c r="N503" i="6"/>
  <c r="M503" i="6"/>
  <c r="L503" i="6"/>
  <c r="J503" i="6"/>
  <c r="I503" i="6"/>
  <c r="H503" i="6"/>
  <c r="O502" i="6"/>
  <c r="K502" i="6"/>
  <c r="G502" i="6"/>
  <c r="R501" i="6"/>
  <c r="Q501" i="6"/>
  <c r="P501" i="6"/>
  <c r="N501" i="6"/>
  <c r="M501" i="6"/>
  <c r="L501" i="6"/>
  <c r="J501" i="6"/>
  <c r="I501" i="6"/>
  <c r="H501" i="6"/>
  <c r="O500" i="6"/>
  <c r="K500" i="6"/>
  <c r="G500" i="6"/>
  <c r="R499" i="6"/>
  <c r="Q499" i="6"/>
  <c r="P499" i="6"/>
  <c r="N499" i="6"/>
  <c r="M499" i="6"/>
  <c r="L499" i="6"/>
  <c r="J499" i="6"/>
  <c r="I499" i="6"/>
  <c r="H499" i="6"/>
  <c r="O498" i="6"/>
  <c r="K498" i="6"/>
  <c r="G498" i="6"/>
  <c r="R497" i="6"/>
  <c r="Q497" i="6"/>
  <c r="P497" i="6"/>
  <c r="N497" i="6"/>
  <c r="M497" i="6"/>
  <c r="L497" i="6"/>
  <c r="J497" i="6"/>
  <c r="I497" i="6"/>
  <c r="H497" i="6"/>
  <c r="O496" i="6"/>
  <c r="K496" i="6"/>
  <c r="G496" i="6"/>
  <c r="R495" i="6"/>
  <c r="Q495" i="6"/>
  <c r="P495" i="6"/>
  <c r="N495" i="6"/>
  <c r="M495" i="6"/>
  <c r="L495" i="6"/>
  <c r="J495" i="6"/>
  <c r="I495" i="6"/>
  <c r="H495" i="6"/>
  <c r="O494" i="6"/>
  <c r="K494" i="6"/>
  <c r="G494" i="6"/>
  <c r="R493" i="6"/>
  <c r="Q493" i="6"/>
  <c r="P493" i="6"/>
  <c r="N493" i="6"/>
  <c r="M493" i="6"/>
  <c r="L493" i="6"/>
  <c r="J493" i="6"/>
  <c r="I493" i="6"/>
  <c r="H493" i="6"/>
  <c r="O492" i="6"/>
  <c r="K492" i="6"/>
  <c r="G492" i="6"/>
  <c r="R491" i="6"/>
  <c r="Q491" i="6"/>
  <c r="P491" i="6"/>
  <c r="N491" i="6"/>
  <c r="M491" i="6"/>
  <c r="L491" i="6"/>
  <c r="J491" i="6"/>
  <c r="I491" i="6"/>
  <c r="H491" i="6"/>
  <c r="O490" i="6"/>
  <c r="K490" i="6"/>
  <c r="G490" i="6"/>
  <c r="R489" i="6"/>
  <c r="Q489" i="6"/>
  <c r="P489" i="6"/>
  <c r="N489" i="6"/>
  <c r="M489" i="6"/>
  <c r="L489" i="6"/>
  <c r="J489" i="6"/>
  <c r="I489" i="6"/>
  <c r="H489" i="6"/>
  <c r="O488" i="6"/>
  <c r="K488" i="6"/>
  <c r="G488" i="6"/>
  <c r="Q480" i="6"/>
  <c r="P480" i="6"/>
  <c r="O480" i="6"/>
  <c r="M480" i="6"/>
  <c r="L480" i="6"/>
  <c r="K480" i="6"/>
  <c r="I480" i="6"/>
  <c r="H480" i="6"/>
  <c r="G480" i="6"/>
  <c r="Q479" i="6"/>
  <c r="P479" i="6"/>
  <c r="O479" i="6"/>
  <c r="M479" i="6"/>
  <c r="L479" i="6"/>
  <c r="K479" i="6"/>
  <c r="I479" i="6"/>
  <c r="H479" i="6"/>
  <c r="G479" i="6"/>
  <c r="N478" i="6"/>
  <c r="J478" i="6"/>
  <c r="F478" i="6"/>
  <c r="Q477" i="6"/>
  <c r="P477" i="6"/>
  <c r="O477" i="6"/>
  <c r="M477" i="6"/>
  <c r="L477" i="6"/>
  <c r="K477" i="6"/>
  <c r="I477" i="6"/>
  <c r="H477" i="6"/>
  <c r="G477" i="6"/>
  <c r="N476" i="6"/>
  <c r="J476" i="6"/>
  <c r="F476" i="6"/>
  <c r="Q475" i="6"/>
  <c r="P475" i="6"/>
  <c r="O475" i="6"/>
  <c r="M475" i="6"/>
  <c r="L475" i="6"/>
  <c r="K475" i="6"/>
  <c r="I475" i="6"/>
  <c r="H475" i="6"/>
  <c r="G475" i="6"/>
  <c r="N474" i="6"/>
  <c r="J474" i="6"/>
  <c r="F474" i="6"/>
  <c r="Q473" i="6"/>
  <c r="P473" i="6"/>
  <c r="O473" i="6"/>
  <c r="M473" i="6"/>
  <c r="L473" i="6"/>
  <c r="K473" i="6"/>
  <c r="I473" i="6"/>
  <c r="H473" i="6"/>
  <c r="G473" i="6"/>
  <c r="N472" i="6"/>
  <c r="J472" i="6"/>
  <c r="F472" i="6"/>
  <c r="Q471" i="6"/>
  <c r="P471" i="6"/>
  <c r="O471" i="6"/>
  <c r="M471" i="6"/>
  <c r="L471" i="6"/>
  <c r="K471" i="6"/>
  <c r="I471" i="6"/>
  <c r="H471" i="6"/>
  <c r="G471" i="6"/>
  <c r="N470" i="6"/>
  <c r="J470" i="6"/>
  <c r="F470" i="6"/>
  <c r="Q469" i="6"/>
  <c r="P469" i="6"/>
  <c r="O469" i="6"/>
  <c r="M469" i="6"/>
  <c r="L469" i="6"/>
  <c r="K469" i="6"/>
  <c r="I469" i="6"/>
  <c r="H469" i="6"/>
  <c r="G469" i="6"/>
  <c r="N468" i="6"/>
  <c r="J468" i="6"/>
  <c r="F468" i="6"/>
  <c r="Q467" i="6"/>
  <c r="Q481" i="6"/>
  <c r="P467" i="6"/>
  <c r="O467" i="6"/>
  <c r="O481" i="6"/>
  <c r="M467" i="6"/>
  <c r="L467" i="6"/>
  <c r="K467" i="6"/>
  <c r="I467" i="6"/>
  <c r="I481" i="6"/>
  <c r="H467" i="6"/>
  <c r="G467" i="6"/>
  <c r="N466" i="6"/>
  <c r="J466" i="6"/>
  <c r="J480" i="6"/>
  <c r="F466" i="6"/>
  <c r="Q458" i="6"/>
  <c r="P458" i="6"/>
  <c r="O458" i="6"/>
  <c r="M458" i="6"/>
  <c r="L458" i="6"/>
  <c r="K458" i="6"/>
  <c r="I458" i="6"/>
  <c r="H458" i="6"/>
  <c r="G458" i="6"/>
  <c r="Q457" i="6"/>
  <c r="P457" i="6"/>
  <c r="O457" i="6"/>
  <c r="M457" i="6"/>
  <c r="L457" i="6"/>
  <c r="K457" i="6"/>
  <c r="I457" i="6"/>
  <c r="G457" i="6"/>
  <c r="N456" i="6"/>
  <c r="J456" i="6"/>
  <c r="F456" i="6"/>
  <c r="Q455" i="6"/>
  <c r="P455" i="6"/>
  <c r="O455" i="6"/>
  <c r="M455" i="6"/>
  <c r="L455" i="6"/>
  <c r="K455" i="6"/>
  <c r="I455" i="6"/>
  <c r="H455" i="6"/>
  <c r="N454" i="6"/>
  <c r="J454" i="6"/>
  <c r="F454" i="6"/>
  <c r="Q453" i="6"/>
  <c r="P453" i="6"/>
  <c r="O453" i="6"/>
  <c r="M453" i="6"/>
  <c r="L453" i="6"/>
  <c r="K453" i="6"/>
  <c r="I453" i="6"/>
  <c r="H453" i="6"/>
  <c r="N452" i="6"/>
  <c r="J452" i="6"/>
  <c r="F452" i="6"/>
  <c r="Q451" i="6"/>
  <c r="P451" i="6"/>
  <c r="P459" i="6"/>
  <c r="O451" i="6"/>
  <c r="O459" i="6"/>
  <c r="M451" i="6"/>
  <c r="L451" i="6"/>
  <c r="L459" i="6"/>
  <c r="K451" i="6"/>
  <c r="I451" i="6"/>
  <c r="H451" i="6"/>
  <c r="G459" i="6"/>
  <c r="N450" i="6"/>
  <c r="N451" i="6"/>
  <c r="J450" i="6"/>
  <c r="F450" i="6"/>
  <c r="F455" i="6"/>
  <c r="R441" i="6"/>
  <c r="Q441" i="6"/>
  <c r="P441" i="6"/>
  <c r="N441" i="6"/>
  <c r="M441" i="6"/>
  <c r="L441" i="6"/>
  <c r="J441" i="6"/>
  <c r="I441" i="6"/>
  <c r="H441" i="6"/>
  <c r="R440" i="6"/>
  <c r="Q440" i="6"/>
  <c r="P440" i="6"/>
  <c r="N440" i="6"/>
  <c r="M440" i="6"/>
  <c r="L440" i="6"/>
  <c r="J440" i="6"/>
  <c r="I440" i="6"/>
  <c r="H440" i="6"/>
  <c r="O439" i="6"/>
  <c r="K439" i="6"/>
  <c r="G439" i="6"/>
  <c r="R438" i="6"/>
  <c r="Q438" i="6"/>
  <c r="P438" i="6"/>
  <c r="N438" i="6"/>
  <c r="M438" i="6"/>
  <c r="L438" i="6"/>
  <c r="J438" i="6"/>
  <c r="I438" i="6"/>
  <c r="H438" i="6"/>
  <c r="O437" i="6"/>
  <c r="K437" i="6"/>
  <c r="G437" i="6"/>
  <c r="R436" i="6"/>
  <c r="Q436" i="6"/>
  <c r="P436" i="6"/>
  <c r="N436" i="6"/>
  <c r="M436" i="6"/>
  <c r="L436" i="6"/>
  <c r="J436" i="6"/>
  <c r="I436" i="6"/>
  <c r="H436" i="6"/>
  <c r="O435" i="6"/>
  <c r="K435" i="6"/>
  <c r="G435" i="6"/>
  <c r="R434" i="6"/>
  <c r="Q434" i="6"/>
  <c r="P434" i="6"/>
  <c r="N434" i="6"/>
  <c r="M434" i="6"/>
  <c r="L434" i="6"/>
  <c r="J434" i="6"/>
  <c r="I434" i="6"/>
  <c r="H434" i="6"/>
  <c r="O433" i="6"/>
  <c r="K433" i="6"/>
  <c r="G433" i="6"/>
  <c r="R432" i="6"/>
  <c r="Q432" i="6"/>
  <c r="P432" i="6"/>
  <c r="N432" i="6"/>
  <c r="M432" i="6"/>
  <c r="L432" i="6"/>
  <c r="J432" i="6"/>
  <c r="I432" i="6"/>
  <c r="H432" i="6"/>
  <c r="O431" i="6"/>
  <c r="K431" i="6"/>
  <c r="G431" i="6"/>
  <c r="R430" i="6"/>
  <c r="Q430" i="6"/>
  <c r="P430" i="6"/>
  <c r="N430" i="6"/>
  <c r="M430" i="6"/>
  <c r="L430" i="6"/>
  <c r="J430" i="6"/>
  <c r="I430" i="6"/>
  <c r="H430" i="6"/>
  <c r="O429" i="6"/>
  <c r="K429" i="6"/>
  <c r="G429" i="6"/>
  <c r="R428" i="6"/>
  <c r="Q428" i="6"/>
  <c r="P428" i="6"/>
  <c r="N428" i="6"/>
  <c r="M428" i="6"/>
  <c r="L428" i="6"/>
  <c r="J428" i="6"/>
  <c r="I428" i="6"/>
  <c r="H428" i="6"/>
  <c r="O427" i="6"/>
  <c r="K427" i="6"/>
  <c r="G427" i="6"/>
  <c r="R426" i="6"/>
  <c r="Q426" i="6"/>
  <c r="Q442" i="6"/>
  <c r="P426" i="6"/>
  <c r="N426" i="6"/>
  <c r="M426" i="6"/>
  <c r="L426" i="6"/>
  <c r="J426" i="6"/>
  <c r="I426" i="6"/>
  <c r="H426" i="6"/>
  <c r="O425" i="6"/>
  <c r="O426" i="6"/>
  <c r="K425" i="6"/>
  <c r="G425" i="6"/>
  <c r="Q400" i="6"/>
  <c r="P400" i="6"/>
  <c r="O400" i="6"/>
  <c r="M400" i="6"/>
  <c r="L400" i="6"/>
  <c r="K400" i="6"/>
  <c r="I400" i="6"/>
  <c r="H400" i="6"/>
  <c r="G400" i="6"/>
  <c r="Q399" i="6"/>
  <c r="P399" i="6"/>
  <c r="O399" i="6"/>
  <c r="M399" i="6"/>
  <c r="L399" i="6"/>
  <c r="K399" i="6"/>
  <c r="I399" i="6"/>
  <c r="H399" i="6"/>
  <c r="G399" i="6"/>
  <c r="N398" i="6"/>
  <c r="J398" i="6"/>
  <c r="F398" i="6"/>
  <c r="Q397" i="6"/>
  <c r="P397" i="6"/>
  <c r="O397" i="6"/>
  <c r="M397" i="6"/>
  <c r="L397" i="6"/>
  <c r="K397" i="6"/>
  <c r="I397" i="6"/>
  <c r="H397" i="6"/>
  <c r="G397" i="6"/>
  <c r="N396" i="6"/>
  <c r="J396" i="6"/>
  <c r="F396" i="6"/>
  <c r="Q395" i="6"/>
  <c r="P395" i="6"/>
  <c r="O395" i="6"/>
  <c r="M395" i="6"/>
  <c r="L395" i="6"/>
  <c r="K395" i="6"/>
  <c r="I395" i="6"/>
  <c r="H395" i="6"/>
  <c r="G395" i="6"/>
  <c r="N394" i="6"/>
  <c r="J394" i="6"/>
  <c r="F394" i="6"/>
  <c r="Q393" i="6"/>
  <c r="P393" i="6"/>
  <c r="P401" i="6"/>
  <c r="O393" i="6"/>
  <c r="O401" i="6"/>
  <c r="M393" i="6"/>
  <c r="M401" i="6"/>
  <c r="L393" i="6"/>
  <c r="L401" i="6"/>
  <c r="K393" i="6"/>
  <c r="I393" i="6"/>
  <c r="H393" i="6"/>
  <c r="H401" i="6"/>
  <c r="G393" i="6"/>
  <c r="G401" i="6"/>
  <c r="N392" i="6"/>
  <c r="J392" i="6"/>
  <c r="F392" i="6"/>
  <c r="Q383" i="6"/>
  <c r="P383" i="6"/>
  <c r="O383" i="6"/>
  <c r="M383" i="6"/>
  <c r="L383" i="6"/>
  <c r="K383" i="6"/>
  <c r="I383" i="6"/>
  <c r="H383" i="6"/>
  <c r="G383" i="6"/>
  <c r="Q382" i="6"/>
  <c r="P382" i="6"/>
  <c r="O382" i="6"/>
  <c r="M382" i="6"/>
  <c r="L382" i="6"/>
  <c r="K382" i="6"/>
  <c r="I382" i="6"/>
  <c r="H382" i="6"/>
  <c r="G382" i="6"/>
  <c r="N381" i="6"/>
  <c r="J381" i="6"/>
  <c r="F381" i="6"/>
  <c r="Q380" i="6"/>
  <c r="P380" i="6"/>
  <c r="O380" i="6"/>
  <c r="M380" i="6"/>
  <c r="L380" i="6"/>
  <c r="K380" i="6"/>
  <c r="I380" i="6"/>
  <c r="H380" i="6"/>
  <c r="G380" i="6"/>
  <c r="N379" i="6"/>
  <c r="J379" i="6"/>
  <c r="F379" i="6"/>
  <c r="Q378" i="6"/>
  <c r="P378" i="6"/>
  <c r="O378" i="6"/>
  <c r="M378" i="6"/>
  <c r="L378" i="6"/>
  <c r="K378" i="6"/>
  <c r="I378" i="6"/>
  <c r="H378" i="6"/>
  <c r="G378" i="6"/>
  <c r="N377" i="6"/>
  <c r="N378" i="6"/>
  <c r="J377" i="6"/>
  <c r="J378" i="6"/>
  <c r="F377" i="6"/>
  <c r="F378" i="6"/>
  <c r="R350" i="6"/>
  <c r="Q350" i="6"/>
  <c r="P350" i="6"/>
  <c r="N350" i="6"/>
  <c r="M350" i="6"/>
  <c r="L350" i="6"/>
  <c r="J350" i="6"/>
  <c r="I350" i="6"/>
  <c r="H350" i="6"/>
  <c r="R349" i="6"/>
  <c r="Q349" i="6"/>
  <c r="P349" i="6"/>
  <c r="N349" i="6"/>
  <c r="M349" i="6"/>
  <c r="L349" i="6"/>
  <c r="J349" i="6"/>
  <c r="I349" i="6"/>
  <c r="H349" i="6"/>
  <c r="O348" i="6"/>
  <c r="K348" i="6"/>
  <c r="G348" i="6"/>
  <c r="R347" i="6"/>
  <c r="Q347" i="6"/>
  <c r="P347" i="6"/>
  <c r="N347" i="6"/>
  <c r="M347" i="6"/>
  <c r="L347" i="6"/>
  <c r="J347" i="6"/>
  <c r="I347" i="6"/>
  <c r="H347" i="6"/>
  <c r="O346" i="6"/>
  <c r="K346" i="6"/>
  <c r="G346" i="6"/>
  <c r="R345" i="6"/>
  <c r="Q345" i="6"/>
  <c r="P345" i="6"/>
  <c r="N345" i="6"/>
  <c r="M345" i="6"/>
  <c r="L345" i="6"/>
  <c r="J345" i="6"/>
  <c r="I345" i="6"/>
  <c r="H345" i="6"/>
  <c r="O344" i="6"/>
  <c r="K344" i="6"/>
  <c r="G344" i="6"/>
  <c r="R343" i="6"/>
  <c r="Q343" i="6"/>
  <c r="P343" i="6"/>
  <c r="N343" i="6"/>
  <c r="M343" i="6"/>
  <c r="L343" i="6"/>
  <c r="J343" i="6"/>
  <c r="I343" i="6"/>
  <c r="H343" i="6"/>
  <c r="O342" i="6"/>
  <c r="K342" i="6"/>
  <c r="G342" i="6"/>
  <c r="R341" i="6"/>
  <c r="Q341" i="6"/>
  <c r="P341" i="6"/>
  <c r="N341" i="6"/>
  <c r="M341" i="6"/>
  <c r="L341" i="6"/>
  <c r="J341" i="6"/>
  <c r="I341" i="6"/>
  <c r="H341" i="6"/>
  <c r="O340" i="6"/>
  <c r="K340" i="6"/>
  <c r="G340" i="6"/>
  <c r="R339" i="6"/>
  <c r="Q339" i="6"/>
  <c r="P339" i="6"/>
  <c r="N339" i="6"/>
  <c r="M339" i="6"/>
  <c r="M351" i="6"/>
  <c r="L339" i="6"/>
  <c r="J339" i="6"/>
  <c r="I339" i="6"/>
  <c r="I351" i="6"/>
  <c r="H339" i="6"/>
  <c r="O338" i="6"/>
  <c r="K338" i="6"/>
  <c r="G338" i="6"/>
  <c r="G339" i="6"/>
  <c r="Q330" i="6"/>
  <c r="P330" i="6"/>
  <c r="O330" i="6"/>
  <c r="M330" i="6"/>
  <c r="L330" i="6"/>
  <c r="K330" i="6"/>
  <c r="I330" i="6"/>
  <c r="H330" i="6"/>
  <c r="G330" i="6"/>
  <c r="Q329" i="6"/>
  <c r="P329" i="6"/>
  <c r="O329" i="6"/>
  <c r="M329" i="6"/>
  <c r="L329" i="6"/>
  <c r="K329" i="6"/>
  <c r="I329" i="6"/>
  <c r="H329" i="6"/>
  <c r="G329" i="6"/>
  <c r="N328" i="6"/>
  <c r="J328" i="6"/>
  <c r="F328" i="6"/>
  <c r="Q327" i="6"/>
  <c r="P327" i="6"/>
  <c r="P331" i="6"/>
  <c r="O327" i="6"/>
  <c r="O331" i="6"/>
  <c r="M327" i="6"/>
  <c r="L327" i="6"/>
  <c r="L331" i="6"/>
  <c r="K327" i="6"/>
  <c r="K331" i="6"/>
  <c r="I327" i="6"/>
  <c r="I331" i="6"/>
  <c r="H327" i="6"/>
  <c r="H331" i="6"/>
  <c r="G327" i="6"/>
  <c r="G331" i="6"/>
  <c r="N326" i="6"/>
  <c r="N327" i="6"/>
  <c r="J326" i="6"/>
  <c r="F326" i="6"/>
  <c r="Q319" i="6"/>
  <c r="P319" i="6"/>
  <c r="O319" i="6"/>
  <c r="M319" i="6"/>
  <c r="L319" i="6"/>
  <c r="K319" i="6"/>
  <c r="I319" i="6"/>
  <c r="H319" i="6"/>
  <c r="G319" i="6"/>
  <c r="Q318" i="6"/>
  <c r="P318" i="6"/>
  <c r="O318" i="6"/>
  <c r="M318" i="6"/>
  <c r="L318" i="6"/>
  <c r="K318" i="6"/>
  <c r="I318" i="6"/>
  <c r="H318" i="6"/>
  <c r="G318" i="6"/>
  <c r="N317" i="6"/>
  <c r="J317" i="6"/>
  <c r="F317" i="6"/>
  <c r="Q316" i="6"/>
  <c r="P316" i="6"/>
  <c r="P320" i="6"/>
  <c r="O316" i="6"/>
  <c r="M316" i="6"/>
  <c r="M320" i="6"/>
  <c r="L316" i="6"/>
  <c r="L320" i="6"/>
  <c r="K316" i="6"/>
  <c r="I316" i="6"/>
  <c r="I320" i="6"/>
  <c r="H316" i="6"/>
  <c r="H320" i="6"/>
  <c r="G316" i="6"/>
  <c r="N315" i="6"/>
  <c r="J315" i="6"/>
  <c r="J318" i="6"/>
  <c r="F315" i="6"/>
  <c r="Q308" i="6"/>
  <c r="P308" i="6"/>
  <c r="O308" i="6"/>
  <c r="M308" i="6"/>
  <c r="L308" i="6"/>
  <c r="K308" i="6"/>
  <c r="I308" i="6"/>
  <c r="H308" i="6"/>
  <c r="G308" i="6"/>
  <c r="Q307" i="6"/>
  <c r="P307" i="6"/>
  <c r="O307" i="6"/>
  <c r="M307" i="6"/>
  <c r="L307" i="6"/>
  <c r="K307" i="6"/>
  <c r="I307" i="6"/>
  <c r="H307" i="6"/>
  <c r="G307" i="6"/>
  <c r="N306" i="6"/>
  <c r="J306" i="6"/>
  <c r="F306" i="6"/>
  <c r="Q305" i="6"/>
  <c r="P305" i="6"/>
  <c r="O305" i="6"/>
  <c r="M305" i="6"/>
  <c r="L305" i="6"/>
  <c r="K305" i="6"/>
  <c r="I305" i="6"/>
  <c r="H305" i="6"/>
  <c r="G305" i="6"/>
  <c r="N304" i="6"/>
  <c r="J304" i="6"/>
  <c r="F304" i="6"/>
  <c r="Q303" i="6"/>
  <c r="P303" i="6"/>
  <c r="O303" i="6"/>
  <c r="M303" i="6"/>
  <c r="L303" i="6"/>
  <c r="K303" i="6"/>
  <c r="I303" i="6"/>
  <c r="H303" i="6"/>
  <c r="G303" i="6"/>
  <c r="N302" i="6"/>
  <c r="J302" i="6"/>
  <c r="F302" i="6"/>
  <c r="Q301" i="6"/>
  <c r="P301" i="6"/>
  <c r="O301" i="6"/>
  <c r="M301" i="6"/>
  <c r="L301" i="6"/>
  <c r="K301" i="6"/>
  <c r="I301" i="6"/>
  <c r="H301" i="6"/>
  <c r="G301" i="6"/>
  <c r="N300" i="6"/>
  <c r="J300" i="6"/>
  <c r="F300" i="6"/>
  <c r="Q299" i="6"/>
  <c r="Q309" i="6"/>
  <c r="P299" i="6"/>
  <c r="O299" i="6"/>
  <c r="M299" i="6"/>
  <c r="L299" i="6"/>
  <c r="K299" i="6"/>
  <c r="I299" i="6"/>
  <c r="I309" i="6"/>
  <c r="H299" i="6"/>
  <c r="H309" i="6"/>
  <c r="G299" i="6"/>
  <c r="N298" i="6"/>
  <c r="J298" i="6"/>
  <c r="F298" i="6"/>
  <c r="F308" i="6"/>
  <c r="Q291" i="6"/>
  <c r="P291" i="6"/>
  <c r="O291" i="6"/>
  <c r="M291" i="6"/>
  <c r="L291" i="6"/>
  <c r="K291" i="6"/>
  <c r="I291" i="6"/>
  <c r="H291" i="6"/>
  <c r="G291" i="6"/>
  <c r="Q290" i="6"/>
  <c r="P290" i="6"/>
  <c r="O290" i="6"/>
  <c r="M290" i="6"/>
  <c r="L290" i="6"/>
  <c r="K290" i="6"/>
  <c r="I290" i="6"/>
  <c r="H290" i="6"/>
  <c r="G290" i="6"/>
  <c r="N289" i="6"/>
  <c r="J289" i="6"/>
  <c r="F289" i="6"/>
  <c r="Q288" i="6"/>
  <c r="P288" i="6"/>
  <c r="O288" i="6"/>
  <c r="M288" i="6"/>
  <c r="L288" i="6"/>
  <c r="K288" i="6"/>
  <c r="I288" i="6"/>
  <c r="H288" i="6"/>
  <c r="G288" i="6"/>
  <c r="N287" i="6"/>
  <c r="J287" i="6"/>
  <c r="F287" i="6"/>
  <c r="Q286" i="6"/>
  <c r="P286" i="6"/>
  <c r="O286" i="6"/>
  <c r="M286" i="6"/>
  <c r="L286" i="6"/>
  <c r="K286" i="6"/>
  <c r="I286" i="6"/>
  <c r="H286" i="6"/>
  <c r="G286" i="6"/>
  <c r="N285" i="6"/>
  <c r="J285" i="6"/>
  <c r="F285" i="6"/>
  <c r="Q284" i="6"/>
  <c r="P284" i="6"/>
  <c r="O284" i="6"/>
  <c r="M284" i="6"/>
  <c r="M292" i="6"/>
  <c r="L284" i="6"/>
  <c r="K284" i="6"/>
  <c r="I284" i="6"/>
  <c r="H284" i="6"/>
  <c r="H292" i="6"/>
  <c r="G284" i="6"/>
  <c r="N283" i="6"/>
  <c r="J283" i="6"/>
  <c r="F283" i="6"/>
  <c r="F291" i="6"/>
  <c r="Q276" i="6"/>
  <c r="P276" i="6"/>
  <c r="O276" i="6"/>
  <c r="M276" i="6"/>
  <c r="L276" i="6"/>
  <c r="K276" i="6"/>
  <c r="I276" i="6"/>
  <c r="H276" i="6"/>
  <c r="G276" i="6"/>
  <c r="Q275" i="6"/>
  <c r="P275" i="6"/>
  <c r="O275" i="6"/>
  <c r="M275" i="6"/>
  <c r="L275" i="6"/>
  <c r="K275" i="6"/>
  <c r="I275" i="6"/>
  <c r="H275" i="6"/>
  <c r="G275" i="6"/>
  <c r="N274" i="6"/>
  <c r="J274" i="6"/>
  <c r="F274" i="6"/>
  <c r="Q273" i="6"/>
  <c r="P273" i="6"/>
  <c r="O273" i="6"/>
  <c r="M273" i="6"/>
  <c r="L273" i="6"/>
  <c r="K273" i="6"/>
  <c r="I273" i="6"/>
  <c r="H273" i="6"/>
  <c r="G273" i="6"/>
  <c r="N272" i="6"/>
  <c r="J272" i="6"/>
  <c r="F272" i="6"/>
  <c r="Q271" i="6"/>
  <c r="P271" i="6"/>
  <c r="O271" i="6"/>
  <c r="M271" i="6"/>
  <c r="M277" i="6"/>
  <c r="L271" i="6"/>
  <c r="K271" i="6"/>
  <c r="K277" i="6"/>
  <c r="I271" i="6"/>
  <c r="H271" i="6"/>
  <c r="G271" i="6"/>
  <c r="N270" i="6"/>
  <c r="J270" i="6"/>
  <c r="J271" i="6"/>
  <c r="F270" i="6"/>
  <c r="Q263" i="6"/>
  <c r="P263" i="6"/>
  <c r="O263" i="6"/>
  <c r="M263" i="6"/>
  <c r="L263" i="6"/>
  <c r="K263" i="6"/>
  <c r="I263" i="6"/>
  <c r="H263" i="6"/>
  <c r="G263" i="6"/>
  <c r="Q262" i="6"/>
  <c r="P262" i="6"/>
  <c r="O262" i="6"/>
  <c r="M262" i="6"/>
  <c r="L262" i="6"/>
  <c r="K262" i="6"/>
  <c r="I262" i="6"/>
  <c r="H262" i="6"/>
  <c r="G262" i="6"/>
  <c r="N261" i="6"/>
  <c r="J261" i="6"/>
  <c r="F261" i="6"/>
  <c r="Q260" i="6"/>
  <c r="P260" i="6"/>
  <c r="O260" i="6"/>
  <c r="M260" i="6"/>
  <c r="L260" i="6"/>
  <c r="K260" i="6"/>
  <c r="I260" i="6"/>
  <c r="H260" i="6"/>
  <c r="G260" i="6"/>
  <c r="N259" i="6"/>
  <c r="J259" i="6"/>
  <c r="F259" i="6"/>
  <c r="Q258" i="6"/>
  <c r="P258" i="6"/>
  <c r="O258" i="6"/>
  <c r="M258" i="6"/>
  <c r="L258" i="6"/>
  <c r="K258" i="6"/>
  <c r="I258" i="6"/>
  <c r="H258" i="6"/>
  <c r="G258" i="6"/>
  <c r="N257" i="6"/>
  <c r="J257" i="6"/>
  <c r="F257" i="6"/>
  <c r="Q256" i="6"/>
  <c r="P256" i="6"/>
  <c r="O256" i="6"/>
  <c r="M256" i="6"/>
  <c r="L256" i="6"/>
  <c r="K256" i="6"/>
  <c r="I256" i="6"/>
  <c r="H256" i="6"/>
  <c r="G256" i="6"/>
  <c r="N255" i="6"/>
  <c r="J255" i="6"/>
  <c r="F255" i="6"/>
  <c r="Q254" i="6"/>
  <c r="P254" i="6"/>
  <c r="O254" i="6"/>
  <c r="M254" i="6"/>
  <c r="L254" i="6"/>
  <c r="K254" i="6"/>
  <c r="I254" i="6"/>
  <c r="H254" i="6"/>
  <c r="G254" i="6"/>
  <c r="N253" i="6"/>
  <c r="J253" i="6"/>
  <c r="F253" i="6"/>
  <c r="Q252" i="6"/>
  <c r="P252" i="6"/>
  <c r="P264" i="6"/>
  <c r="O252" i="6"/>
  <c r="M252" i="6"/>
  <c r="L252" i="6"/>
  <c r="K252" i="6"/>
  <c r="I252" i="6"/>
  <c r="H252" i="6"/>
  <c r="H264" i="6"/>
  <c r="G252" i="6"/>
  <c r="N251" i="6"/>
  <c r="N263" i="6"/>
  <c r="J251" i="6"/>
  <c r="F251" i="6"/>
  <c r="F216" i="6"/>
  <c r="F214" i="6"/>
  <c r="G213" i="6"/>
  <c r="F212" i="6"/>
  <c r="F210" i="6"/>
  <c r="F208" i="6"/>
  <c r="F206" i="6"/>
  <c r="F204" i="6"/>
  <c r="F202" i="6"/>
  <c r="F200" i="6"/>
  <c r="F198" i="6"/>
  <c r="I196" i="6"/>
  <c r="H196" i="6"/>
  <c r="H197" i="6"/>
  <c r="G196" i="6"/>
  <c r="G217" i="6"/>
  <c r="F174" i="6"/>
  <c r="F172" i="6"/>
  <c r="G171" i="6"/>
  <c r="F170" i="6"/>
  <c r="F168" i="6"/>
  <c r="F166" i="6"/>
  <c r="F164" i="6"/>
  <c r="F162" i="6"/>
  <c r="F160" i="6"/>
  <c r="F158" i="6"/>
  <c r="F156" i="6"/>
  <c r="I154" i="6"/>
  <c r="I171" i="6"/>
  <c r="H154" i="6"/>
  <c r="H173" i="6"/>
  <c r="G154" i="6"/>
  <c r="Q148" i="6"/>
  <c r="P148" i="6"/>
  <c r="O148" i="6"/>
  <c r="M148" i="6"/>
  <c r="L148" i="6"/>
  <c r="K148" i="6"/>
  <c r="I148" i="6"/>
  <c r="H148" i="6"/>
  <c r="G148" i="6"/>
  <c r="Q147" i="6"/>
  <c r="P147" i="6"/>
  <c r="O147" i="6"/>
  <c r="M147" i="6"/>
  <c r="L147" i="6"/>
  <c r="K147" i="6"/>
  <c r="I147" i="6"/>
  <c r="H147" i="6"/>
  <c r="G147" i="6"/>
  <c r="N146" i="6"/>
  <c r="J146" i="6"/>
  <c r="F146" i="6"/>
  <c r="Q145" i="6"/>
  <c r="P145" i="6"/>
  <c r="O145" i="6"/>
  <c r="M145" i="6"/>
  <c r="L145" i="6"/>
  <c r="K145" i="6"/>
  <c r="I145" i="6"/>
  <c r="H145" i="6"/>
  <c r="G145" i="6"/>
  <c r="N144" i="6"/>
  <c r="J144" i="6"/>
  <c r="F144" i="6"/>
  <c r="Q143" i="6"/>
  <c r="P143" i="6"/>
  <c r="O143" i="6"/>
  <c r="M143" i="6"/>
  <c r="L143" i="6"/>
  <c r="K143" i="6"/>
  <c r="I143" i="6"/>
  <c r="H143" i="6"/>
  <c r="G143" i="6"/>
  <c r="N142" i="6"/>
  <c r="J142" i="6"/>
  <c r="F142" i="6"/>
  <c r="Q141" i="6"/>
  <c r="P141" i="6"/>
  <c r="O141" i="6"/>
  <c r="M141" i="6"/>
  <c r="L141" i="6"/>
  <c r="K141" i="6"/>
  <c r="I141" i="6"/>
  <c r="H141" i="6"/>
  <c r="G141" i="6"/>
  <c r="N140" i="6"/>
  <c r="J140" i="6"/>
  <c r="F140" i="6"/>
  <c r="Q139" i="6"/>
  <c r="P139" i="6"/>
  <c r="O139" i="6"/>
  <c r="M139" i="6"/>
  <c r="L139" i="6"/>
  <c r="K139" i="6"/>
  <c r="I139" i="6"/>
  <c r="H139" i="6"/>
  <c r="G139" i="6"/>
  <c r="N138" i="6"/>
  <c r="J138" i="6"/>
  <c r="F138" i="6"/>
  <c r="Q137" i="6"/>
  <c r="P137" i="6"/>
  <c r="O137" i="6"/>
  <c r="M137" i="6"/>
  <c r="L137" i="6"/>
  <c r="K137" i="6"/>
  <c r="I137" i="6"/>
  <c r="H137" i="6"/>
  <c r="G137" i="6"/>
  <c r="N136" i="6"/>
  <c r="J136" i="6"/>
  <c r="F136" i="6"/>
  <c r="Q135" i="6"/>
  <c r="P135" i="6"/>
  <c r="O135" i="6"/>
  <c r="M135" i="6"/>
  <c r="L135" i="6"/>
  <c r="K135" i="6"/>
  <c r="I135" i="6"/>
  <c r="H135" i="6"/>
  <c r="G135" i="6"/>
  <c r="N134" i="6"/>
  <c r="J134" i="6"/>
  <c r="F134" i="6"/>
  <c r="Q133" i="6"/>
  <c r="P133" i="6"/>
  <c r="O133" i="6"/>
  <c r="M133" i="6"/>
  <c r="L133" i="6"/>
  <c r="K133" i="6"/>
  <c r="I133" i="6"/>
  <c r="H133" i="6"/>
  <c r="G133" i="6"/>
  <c r="N132" i="6"/>
  <c r="J132" i="6"/>
  <c r="F132" i="6"/>
  <c r="Q131" i="6"/>
  <c r="P131" i="6"/>
  <c r="O131" i="6"/>
  <c r="O149" i="6"/>
  <c r="M131" i="6"/>
  <c r="L131" i="6"/>
  <c r="K131" i="6"/>
  <c r="K149" i="6"/>
  <c r="I131" i="6"/>
  <c r="H131" i="6"/>
  <c r="G131" i="6"/>
  <c r="G149" i="6"/>
  <c r="N130" i="6"/>
  <c r="N133" i="6"/>
  <c r="J130" i="6"/>
  <c r="J148" i="6"/>
  <c r="F130" i="6"/>
  <c r="F145" i="6"/>
  <c r="Q123" i="6"/>
  <c r="P123" i="6"/>
  <c r="O123" i="6"/>
  <c r="M123" i="6"/>
  <c r="L123" i="6"/>
  <c r="K123" i="6"/>
  <c r="I123" i="6"/>
  <c r="H123" i="6"/>
  <c r="G123" i="6"/>
  <c r="Q122" i="6"/>
  <c r="P122" i="6"/>
  <c r="O122" i="6"/>
  <c r="M122" i="6"/>
  <c r="L122" i="6"/>
  <c r="K122" i="6"/>
  <c r="I122" i="6"/>
  <c r="H122" i="6"/>
  <c r="G122" i="6"/>
  <c r="N121" i="6"/>
  <c r="J121" i="6"/>
  <c r="F121" i="6"/>
  <c r="Q120" i="6"/>
  <c r="P120" i="6"/>
  <c r="O120" i="6"/>
  <c r="M120" i="6"/>
  <c r="L120" i="6"/>
  <c r="K120" i="6"/>
  <c r="I120" i="6"/>
  <c r="H120" i="6"/>
  <c r="G120" i="6"/>
  <c r="N119" i="6"/>
  <c r="J119" i="6"/>
  <c r="F119" i="6"/>
  <c r="Q118" i="6"/>
  <c r="P118" i="6"/>
  <c r="O118" i="6"/>
  <c r="M118" i="6"/>
  <c r="L118" i="6"/>
  <c r="K118" i="6"/>
  <c r="I118" i="6"/>
  <c r="H118" i="6"/>
  <c r="G118" i="6"/>
  <c r="N117" i="6"/>
  <c r="J117" i="6"/>
  <c r="F117" i="6"/>
  <c r="Q116" i="6"/>
  <c r="P116" i="6"/>
  <c r="O116" i="6"/>
  <c r="M116" i="6"/>
  <c r="L116" i="6"/>
  <c r="K116" i="6"/>
  <c r="I116" i="6"/>
  <c r="H116" i="6"/>
  <c r="G116" i="6"/>
  <c r="N115" i="6"/>
  <c r="J115" i="6"/>
  <c r="F115" i="6"/>
  <c r="Q114" i="6"/>
  <c r="P114" i="6"/>
  <c r="O114" i="6"/>
  <c r="M114" i="6"/>
  <c r="L114" i="6"/>
  <c r="K114" i="6"/>
  <c r="I114" i="6"/>
  <c r="H114" i="6"/>
  <c r="G114" i="6"/>
  <c r="N113" i="6"/>
  <c r="J113" i="6"/>
  <c r="F113" i="6"/>
  <c r="Q112" i="6"/>
  <c r="P112" i="6"/>
  <c r="O112" i="6"/>
  <c r="M112" i="6"/>
  <c r="L112" i="6"/>
  <c r="K112" i="6"/>
  <c r="I112" i="6"/>
  <c r="H112" i="6"/>
  <c r="G112" i="6"/>
  <c r="N111" i="6"/>
  <c r="J111" i="6"/>
  <c r="F111" i="6"/>
  <c r="Q110" i="6"/>
  <c r="P110" i="6"/>
  <c r="O110" i="6"/>
  <c r="M110" i="6"/>
  <c r="L110" i="6"/>
  <c r="K110" i="6"/>
  <c r="I110" i="6"/>
  <c r="H110" i="6"/>
  <c r="G110" i="6"/>
  <c r="N109" i="6"/>
  <c r="J109" i="6"/>
  <c r="F109" i="6"/>
  <c r="Q108" i="6"/>
  <c r="P108" i="6"/>
  <c r="O108" i="6"/>
  <c r="M108" i="6"/>
  <c r="L108" i="6"/>
  <c r="K108" i="6"/>
  <c r="I108" i="6"/>
  <c r="H108" i="6"/>
  <c r="G108" i="6"/>
  <c r="N107" i="6"/>
  <c r="J107" i="6"/>
  <c r="F107" i="6"/>
  <c r="Q106" i="6"/>
  <c r="Q124" i="6"/>
  <c r="P106" i="6"/>
  <c r="P124" i="6"/>
  <c r="O106" i="6"/>
  <c r="O124" i="6"/>
  <c r="M106" i="6"/>
  <c r="L106" i="6"/>
  <c r="K106" i="6"/>
  <c r="I106" i="6"/>
  <c r="H106" i="6"/>
  <c r="G106" i="6"/>
  <c r="N105" i="6"/>
  <c r="N106" i="6"/>
  <c r="J105" i="6"/>
  <c r="J106" i="6"/>
  <c r="F105" i="6"/>
  <c r="F106" i="6"/>
  <c r="N96" i="6"/>
  <c r="J96" i="6"/>
  <c r="F96" i="6"/>
  <c r="Q95" i="6"/>
  <c r="P95" i="6"/>
  <c r="O95" i="6"/>
  <c r="M95" i="6"/>
  <c r="L95" i="6"/>
  <c r="K95" i="6"/>
  <c r="I95" i="6"/>
  <c r="H95" i="6"/>
  <c r="G95" i="6"/>
  <c r="N94" i="6"/>
  <c r="J94" i="6"/>
  <c r="F94" i="6"/>
  <c r="Q93" i="6"/>
  <c r="P93" i="6"/>
  <c r="O93" i="6"/>
  <c r="M93" i="6"/>
  <c r="L93" i="6"/>
  <c r="K93" i="6"/>
  <c r="I93" i="6"/>
  <c r="H93" i="6"/>
  <c r="G93" i="6"/>
  <c r="N92" i="6"/>
  <c r="J92" i="6"/>
  <c r="F92" i="6"/>
  <c r="Q91" i="6"/>
  <c r="P91" i="6"/>
  <c r="O91" i="6"/>
  <c r="M91" i="6"/>
  <c r="L91" i="6"/>
  <c r="K91" i="6"/>
  <c r="I91" i="6"/>
  <c r="H91" i="6"/>
  <c r="G91" i="6"/>
  <c r="N90" i="6"/>
  <c r="J90" i="6"/>
  <c r="J88" i="6"/>
  <c r="F90" i="6"/>
  <c r="F91" i="6"/>
  <c r="Q88" i="6"/>
  <c r="Q97" i="6"/>
  <c r="P88" i="6"/>
  <c r="P98" i="6"/>
  <c r="O88" i="6"/>
  <c r="O98" i="6"/>
  <c r="M88" i="6"/>
  <c r="M98" i="6"/>
  <c r="L88" i="6"/>
  <c r="L98" i="6"/>
  <c r="K88" i="6"/>
  <c r="K98" i="6"/>
  <c r="I88" i="6"/>
  <c r="I98" i="6"/>
  <c r="H88" i="6"/>
  <c r="H98" i="6"/>
  <c r="G88" i="6"/>
  <c r="G98" i="6"/>
  <c r="N79" i="6"/>
  <c r="J79" i="6"/>
  <c r="F79" i="6"/>
  <c r="Q78" i="6"/>
  <c r="P78" i="6"/>
  <c r="O78" i="6"/>
  <c r="M78" i="6"/>
  <c r="L78" i="6"/>
  <c r="K78" i="6"/>
  <c r="I78" i="6"/>
  <c r="H78" i="6"/>
  <c r="G78" i="6"/>
  <c r="Q76" i="6"/>
  <c r="P76" i="6"/>
  <c r="O76" i="6"/>
  <c r="M76" i="6"/>
  <c r="L76" i="6"/>
  <c r="K76" i="6"/>
  <c r="I76" i="6"/>
  <c r="H76" i="6"/>
  <c r="G76" i="6"/>
  <c r="N75" i="6"/>
  <c r="J75" i="6"/>
  <c r="F75" i="6"/>
  <c r="Q74" i="6"/>
  <c r="P74" i="6"/>
  <c r="O74" i="6"/>
  <c r="M74" i="6"/>
  <c r="L74" i="6"/>
  <c r="K74" i="6"/>
  <c r="I74" i="6"/>
  <c r="H74" i="6"/>
  <c r="G74" i="6"/>
  <c r="N73" i="6"/>
  <c r="J73" i="6"/>
  <c r="J78" i="6"/>
  <c r="F73" i="6"/>
  <c r="F78" i="6"/>
  <c r="Q71" i="6"/>
  <c r="Q72" i="6"/>
  <c r="P71" i="6"/>
  <c r="P72" i="6"/>
  <c r="O71" i="6"/>
  <c r="O81" i="6"/>
  <c r="M71" i="6"/>
  <c r="M72" i="6"/>
  <c r="L71" i="6"/>
  <c r="L72" i="6"/>
  <c r="K71" i="6"/>
  <c r="K81" i="6"/>
  <c r="I71" i="6"/>
  <c r="I72" i="6"/>
  <c r="H71" i="6"/>
  <c r="H72" i="6"/>
  <c r="G71" i="6"/>
  <c r="G81" i="6"/>
  <c r="Q64" i="6"/>
  <c r="P64" i="6"/>
  <c r="O64" i="6"/>
  <c r="M64" i="6"/>
  <c r="L64" i="6"/>
  <c r="K64" i="6"/>
  <c r="I64" i="6"/>
  <c r="H64" i="6"/>
  <c r="G64" i="6"/>
  <c r="Q63" i="6"/>
  <c r="P63" i="6"/>
  <c r="O63" i="6"/>
  <c r="M63" i="6"/>
  <c r="L63" i="6"/>
  <c r="K63" i="6"/>
  <c r="I63" i="6"/>
  <c r="H63" i="6"/>
  <c r="G63" i="6"/>
  <c r="N62" i="6"/>
  <c r="J62" i="6"/>
  <c r="F62" i="6"/>
  <c r="Q61" i="6"/>
  <c r="P61" i="6"/>
  <c r="P65" i="6"/>
  <c r="O61" i="6"/>
  <c r="M61" i="6"/>
  <c r="L61" i="6"/>
  <c r="K61" i="6"/>
  <c r="I61" i="6"/>
  <c r="I65" i="6"/>
  <c r="H61" i="6"/>
  <c r="G61" i="6"/>
  <c r="N60" i="6"/>
  <c r="J60" i="6"/>
  <c r="F60" i="6"/>
  <c r="Q53" i="6"/>
  <c r="P53" i="6"/>
  <c r="O53" i="6"/>
  <c r="M53" i="6"/>
  <c r="L53" i="6"/>
  <c r="K53" i="6"/>
  <c r="I53" i="6"/>
  <c r="H53" i="6"/>
  <c r="G53" i="6"/>
  <c r="Q52" i="6"/>
  <c r="P52" i="6"/>
  <c r="O52" i="6"/>
  <c r="M52" i="6"/>
  <c r="L52" i="6"/>
  <c r="K52" i="6"/>
  <c r="I52" i="6"/>
  <c r="H52" i="6"/>
  <c r="G52" i="6"/>
  <c r="N51" i="6"/>
  <c r="J51" i="6"/>
  <c r="F51" i="6"/>
  <c r="Q50" i="6"/>
  <c r="P50" i="6"/>
  <c r="O50" i="6"/>
  <c r="M50" i="6"/>
  <c r="L50" i="6"/>
  <c r="K50" i="6"/>
  <c r="I50" i="6"/>
  <c r="H50" i="6"/>
  <c r="G50" i="6"/>
  <c r="N49" i="6"/>
  <c r="J49" i="6"/>
  <c r="F49" i="6"/>
  <c r="Q48" i="6"/>
  <c r="P48" i="6"/>
  <c r="O48" i="6"/>
  <c r="M48" i="6"/>
  <c r="L48" i="6"/>
  <c r="K48" i="6"/>
  <c r="I48" i="6"/>
  <c r="H48" i="6"/>
  <c r="G48" i="6"/>
  <c r="N47" i="6"/>
  <c r="J47" i="6"/>
  <c r="F47" i="6"/>
  <c r="Q46" i="6"/>
  <c r="P46" i="6"/>
  <c r="O46" i="6"/>
  <c r="M46" i="6"/>
  <c r="L46" i="6"/>
  <c r="K46" i="6"/>
  <c r="I46" i="6"/>
  <c r="H46" i="6"/>
  <c r="G46" i="6"/>
  <c r="N45" i="6"/>
  <c r="J45" i="6"/>
  <c r="F45" i="6"/>
  <c r="Q44" i="6"/>
  <c r="P44" i="6"/>
  <c r="P54" i="6"/>
  <c r="O44" i="6"/>
  <c r="O54" i="6"/>
  <c r="M44" i="6"/>
  <c r="M54" i="6"/>
  <c r="L44" i="6"/>
  <c r="K44" i="6"/>
  <c r="K54" i="6"/>
  <c r="I44" i="6"/>
  <c r="I54" i="6"/>
  <c r="H44" i="6"/>
  <c r="H54" i="6"/>
  <c r="G44" i="6"/>
  <c r="N43" i="6"/>
  <c r="J43" i="6"/>
  <c r="J53" i="6"/>
  <c r="F43" i="6"/>
  <c r="F53" i="6"/>
  <c r="Q33" i="6"/>
  <c r="P33" i="6"/>
  <c r="O33" i="6"/>
  <c r="M33" i="6"/>
  <c r="L33" i="6"/>
  <c r="K33" i="6"/>
  <c r="I33" i="6"/>
  <c r="H33" i="6"/>
  <c r="G33" i="6"/>
  <c r="N31" i="6"/>
  <c r="J31" i="6"/>
  <c r="F31" i="6"/>
  <c r="N30" i="6"/>
  <c r="J30" i="6"/>
  <c r="F30" i="6"/>
  <c r="N29" i="6"/>
  <c r="J29" i="6"/>
  <c r="F29" i="6"/>
  <c r="N28" i="6"/>
  <c r="J28" i="6"/>
  <c r="F28" i="6"/>
  <c r="N27" i="6"/>
  <c r="J27" i="6"/>
  <c r="F27" i="6"/>
  <c r="N26" i="6"/>
  <c r="J26" i="6"/>
  <c r="F26" i="6"/>
  <c r="N25" i="6"/>
  <c r="J25" i="6"/>
  <c r="F25" i="6"/>
  <c r="L751" i="6"/>
  <c r="K1175" i="6"/>
  <c r="N78" i="6"/>
  <c r="G491" i="6"/>
  <c r="H505" i="6"/>
  <c r="R505" i="6"/>
  <c r="O1120" i="6"/>
  <c r="K1060" i="6"/>
  <c r="O1088" i="6"/>
  <c r="N53" i="6"/>
  <c r="K864" i="6"/>
  <c r="M309" i="6"/>
  <c r="O491" i="6"/>
  <c r="F71" i="6"/>
  <c r="F72" i="6"/>
  <c r="K1179" i="6"/>
  <c r="K499" i="6"/>
  <c r="K1177" i="6"/>
  <c r="F382" i="6"/>
  <c r="F696" i="6"/>
  <c r="K1066" i="6"/>
  <c r="F110" i="6"/>
  <c r="G207" i="6"/>
  <c r="H351" i="6"/>
  <c r="K491" i="6"/>
  <c r="G493" i="6"/>
  <c r="J533" i="6"/>
  <c r="L723" i="6"/>
  <c r="H724" i="6"/>
  <c r="O712" i="6"/>
  <c r="K1052" i="6"/>
  <c r="K1070" i="6"/>
  <c r="O1084" i="6"/>
  <c r="O1092" i="6"/>
  <c r="O1175" i="6"/>
  <c r="O1177" i="6"/>
  <c r="O1179" i="6"/>
  <c r="F319" i="6"/>
  <c r="K1064" i="6"/>
  <c r="O1086" i="6"/>
  <c r="F61" i="6"/>
  <c r="N71" i="6"/>
  <c r="N80" i="6"/>
  <c r="G124" i="6"/>
  <c r="N316" i="6"/>
  <c r="F598" i="6"/>
  <c r="K1056" i="6"/>
  <c r="O1082" i="6"/>
  <c r="O1090" i="6"/>
  <c r="K1121" i="6"/>
  <c r="K1088" i="6"/>
  <c r="K1167" i="6"/>
  <c r="I167" i="6"/>
  <c r="J550" i="6"/>
  <c r="Y1030" i="6"/>
  <c r="Y1068" i="6"/>
  <c r="N33" i="6"/>
  <c r="N64" i="6"/>
  <c r="J63" i="6"/>
  <c r="J71" i="6"/>
  <c r="J72" i="6"/>
  <c r="K124" i="6"/>
  <c r="J256" i="6"/>
  <c r="F273" i="6"/>
  <c r="O320" i="6"/>
  <c r="O384" i="6"/>
  <c r="M384" i="6"/>
  <c r="F383" i="6"/>
  <c r="K434" i="6"/>
  <c r="K436" i="6"/>
  <c r="F531" i="6"/>
  <c r="M539" i="6"/>
  <c r="F533" i="6"/>
  <c r="G572" i="6"/>
  <c r="J582" i="6"/>
  <c r="O588" i="6"/>
  <c r="Q604" i="6"/>
  <c r="K604" i="6"/>
  <c r="P604" i="6"/>
  <c r="L652" i="6"/>
  <c r="G698" i="6"/>
  <c r="M706" i="6"/>
  <c r="I724" i="6"/>
  <c r="R724" i="6"/>
  <c r="Y1045" i="6"/>
  <c r="K1058" i="6"/>
  <c r="AA1082" i="6"/>
  <c r="K1068" i="6"/>
  <c r="AA1107" i="6"/>
  <c r="Y1153" i="6"/>
  <c r="Y1170" i="6"/>
  <c r="K1165" i="6"/>
  <c r="K1173" i="6"/>
  <c r="F582" i="6"/>
  <c r="K698" i="6"/>
  <c r="I157" i="6"/>
  <c r="N290" i="6"/>
  <c r="F316" i="6"/>
  <c r="F477" i="6"/>
  <c r="N582" i="6"/>
  <c r="K588" i="6"/>
  <c r="F646" i="6"/>
  <c r="O708" i="6"/>
  <c r="O716" i="6"/>
  <c r="AC1107" i="6"/>
  <c r="Y1130" i="6"/>
  <c r="O1071" i="6"/>
  <c r="O1060" i="6"/>
  <c r="K1171" i="6"/>
  <c r="N95" i="6"/>
  <c r="M620" i="6"/>
  <c r="O720" i="6"/>
  <c r="F734" i="6"/>
  <c r="H903" i="6"/>
  <c r="F48" i="6"/>
  <c r="F154" i="6"/>
  <c r="F173" i="6"/>
  <c r="I176" i="6"/>
  <c r="J301" i="6"/>
  <c r="F33" i="6"/>
  <c r="F63" i="6"/>
  <c r="N118" i="6"/>
  <c r="N276" i="6"/>
  <c r="J273" i="6"/>
  <c r="K350" i="6"/>
  <c r="G349" i="6"/>
  <c r="G384" i="6"/>
  <c r="L384" i="6"/>
  <c r="N453" i="6"/>
  <c r="F515" i="6"/>
  <c r="P539" i="6"/>
  <c r="O539" i="6"/>
  <c r="J535" i="6"/>
  <c r="F550" i="6"/>
  <c r="H556" i="6"/>
  <c r="N564" i="6"/>
  <c r="G588" i="6"/>
  <c r="I604" i="6"/>
  <c r="N694" i="6"/>
  <c r="J694" i="6"/>
  <c r="J696" i="6"/>
  <c r="O723" i="6"/>
  <c r="P724" i="6"/>
  <c r="AC1036" i="6"/>
  <c r="K1054" i="6"/>
  <c r="Y1120" i="6"/>
  <c r="Y1191" i="6"/>
  <c r="G54" i="6"/>
  <c r="L54" i="6"/>
  <c r="Q54" i="6"/>
  <c r="N52" i="6"/>
  <c r="J61" i="6"/>
  <c r="H65" i="6"/>
  <c r="M65" i="6"/>
  <c r="G65" i="6"/>
  <c r="K65" i="6"/>
  <c r="I81" i="6"/>
  <c r="J95" i="6"/>
  <c r="J97" i="6"/>
  <c r="I124" i="6"/>
  <c r="M124" i="6"/>
  <c r="N135" i="6"/>
  <c r="I159" i="6"/>
  <c r="H167" i="6"/>
  <c r="I173" i="6"/>
  <c r="H176" i="6"/>
  <c r="N256" i="6"/>
  <c r="L277" i="6"/>
  <c r="Q277" i="6"/>
  <c r="O277" i="6"/>
  <c r="J275" i="6"/>
  <c r="F288" i="6"/>
  <c r="P292" i="6"/>
  <c r="J316" i="6"/>
  <c r="J320" i="6"/>
  <c r="J319" i="6"/>
  <c r="K339" i="6"/>
  <c r="P351" i="6"/>
  <c r="K343" i="6"/>
  <c r="K347" i="6"/>
  <c r="K349" i="6"/>
  <c r="K426" i="6"/>
  <c r="N442" i="6"/>
  <c r="G434" i="6"/>
  <c r="F76" i="6"/>
  <c r="I80" i="6"/>
  <c r="I82" i="6"/>
  <c r="M81" i="6"/>
  <c r="F112" i="6"/>
  <c r="F116" i="6"/>
  <c r="F118" i="6"/>
  <c r="F120" i="6"/>
  <c r="F286" i="6"/>
  <c r="P309" i="6"/>
  <c r="N307" i="6"/>
  <c r="Q384" i="6"/>
  <c r="K438" i="6"/>
  <c r="J442" i="6"/>
  <c r="J46" i="6"/>
  <c r="F50" i="6"/>
  <c r="F52" i="6"/>
  <c r="F64" i="6"/>
  <c r="J64" i="6"/>
  <c r="J76" i="6"/>
  <c r="M80" i="6"/>
  <c r="M82" i="6"/>
  <c r="Q81" i="6"/>
  <c r="N88" i="6"/>
  <c r="N89" i="6"/>
  <c r="J110" i="6"/>
  <c r="J112" i="6"/>
  <c r="J118" i="6"/>
  <c r="J120" i="6"/>
  <c r="F133" i="6"/>
  <c r="F135" i="6"/>
  <c r="F139" i="6"/>
  <c r="F141" i="6"/>
  <c r="F147" i="6"/>
  <c r="H161" i="6"/>
  <c r="I165" i="6"/>
  <c r="H175" i="6"/>
  <c r="G205" i="6"/>
  <c r="G218" i="6"/>
  <c r="G209" i="6"/>
  <c r="G201" i="6"/>
  <c r="M264" i="6"/>
  <c r="F256" i="6"/>
  <c r="Q331" i="6"/>
  <c r="O428" i="6"/>
  <c r="O434" i="6"/>
  <c r="J33" i="6"/>
  <c r="N46" i="6"/>
  <c r="J50" i="6"/>
  <c r="J52" i="6"/>
  <c r="L65" i="6"/>
  <c r="Q65" i="6"/>
  <c r="O65" i="6"/>
  <c r="N76" i="6"/>
  <c r="Q80" i="6"/>
  <c r="Q82" i="6"/>
  <c r="J91" i="6"/>
  <c r="N91" i="6"/>
  <c r="F95" i="6"/>
  <c r="J116" i="6"/>
  <c r="H124" i="6"/>
  <c r="L124" i="6"/>
  <c r="N108" i="6"/>
  <c r="N112" i="6"/>
  <c r="N116" i="6"/>
  <c r="N120" i="6"/>
  <c r="J133" i="6"/>
  <c r="J135" i="6"/>
  <c r="J141" i="6"/>
  <c r="H159" i="6"/>
  <c r="H169" i="6"/>
  <c r="I175" i="6"/>
  <c r="H215" i="6"/>
  <c r="H207" i="6"/>
  <c r="H199" i="6"/>
  <c r="G199" i="6"/>
  <c r="H205" i="6"/>
  <c r="G215" i="6"/>
  <c r="J260" i="6"/>
  <c r="K292" i="6"/>
  <c r="N286" i="6"/>
  <c r="F301" i="6"/>
  <c r="F303" i="6"/>
  <c r="G350" i="6"/>
  <c r="I384" i="6"/>
  <c r="N395" i="6"/>
  <c r="N397" i="6"/>
  <c r="N399" i="6"/>
  <c r="I264" i="6"/>
  <c r="F275" i="6"/>
  <c r="H277" i="6"/>
  <c r="I292" i="6"/>
  <c r="G292" i="6"/>
  <c r="N329" i="6"/>
  <c r="N331" i="6"/>
  <c r="L351" i="6"/>
  <c r="O343" i="6"/>
  <c r="O345" i="6"/>
  <c r="O347" i="6"/>
  <c r="H384" i="6"/>
  <c r="J395" i="6"/>
  <c r="J397" i="6"/>
  <c r="I401" i="6"/>
  <c r="H459" i="6"/>
  <c r="Q459" i="6"/>
  <c r="N469" i="6"/>
  <c r="P481" i="6"/>
  <c r="N473" i="6"/>
  <c r="K493" i="6"/>
  <c r="Q523" i="6"/>
  <c r="P523" i="6"/>
  <c r="N517" i="6"/>
  <c r="K523" i="6"/>
  <c r="N521" i="6"/>
  <c r="J531" i="6"/>
  <c r="H539" i="6"/>
  <c r="J548" i="6"/>
  <c r="L556" i="6"/>
  <c r="K572" i="6"/>
  <c r="N570" i="6"/>
  <c r="P588" i="6"/>
  <c r="F603" i="6"/>
  <c r="M604" i="6"/>
  <c r="G604" i="6"/>
  <c r="L604" i="6"/>
  <c r="F614" i="6"/>
  <c r="H620" i="6"/>
  <c r="L636" i="6"/>
  <c r="N646" i="6"/>
  <c r="N650" i="6"/>
  <c r="P652" i="6"/>
  <c r="J662" i="6"/>
  <c r="J664" i="6"/>
  <c r="J666" i="6"/>
  <c r="F694" i="6"/>
  <c r="J724" i="6"/>
  <c r="M712" i="6"/>
  <c r="M720" i="6"/>
  <c r="P815" i="6"/>
  <c r="P800" i="6"/>
  <c r="O430" i="6"/>
  <c r="O432" i="6"/>
  <c r="F453" i="6"/>
  <c r="M459" i="6"/>
  <c r="L481" i="6"/>
  <c r="F475" i="6"/>
  <c r="Q505" i="6"/>
  <c r="K501" i="6"/>
  <c r="K503" i="6"/>
  <c r="F552" i="6"/>
  <c r="L572" i="6"/>
  <c r="J614" i="6"/>
  <c r="F630" i="6"/>
  <c r="H636" i="6"/>
  <c r="F697" i="6"/>
  <c r="M710" i="6"/>
  <c r="K717" i="6"/>
  <c r="M718" i="6"/>
  <c r="P850" i="6"/>
  <c r="P854" i="6"/>
  <c r="P856" i="6"/>
  <c r="P858" i="6"/>
  <c r="P862" i="6"/>
  <c r="L903" i="6"/>
  <c r="G264" i="6"/>
  <c r="L264" i="6"/>
  <c r="Q264" i="6"/>
  <c r="F258" i="6"/>
  <c r="J276" i="6"/>
  <c r="I277" i="6"/>
  <c r="G277" i="6"/>
  <c r="P277" i="6"/>
  <c r="L292" i="6"/>
  <c r="Q292" i="6"/>
  <c r="O292" i="6"/>
  <c r="G309" i="6"/>
  <c r="L309" i="6"/>
  <c r="J305" i="6"/>
  <c r="N319" i="6"/>
  <c r="Q320" i="6"/>
  <c r="G320" i="6"/>
  <c r="K320" i="6"/>
  <c r="M331" i="6"/>
  <c r="O341" i="6"/>
  <c r="G341" i="6"/>
  <c r="K384" i="6"/>
  <c r="P384" i="6"/>
  <c r="N380" i="6"/>
  <c r="N382" i="6"/>
  <c r="Q401" i="6"/>
  <c r="R442" i="6"/>
  <c r="G436" i="6"/>
  <c r="F451" i="6"/>
  <c r="K459" i="6"/>
  <c r="J453" i="6"/>
  <c r="J455" i="6"/>
  <c r="I459" i="6"/>
  <c r="F480" i="6"/>
  <c r="M481" i="6"/>
  <c r="H481" i="6"/>
  <c r="L505" i="6"/>
  <c r="M505" i="6"/>
  <c r="I523" i="6"/>
  <c r="F517" i="6"/>
  <c r="J538" i="6"/>
  <c r="K539" i="6"/>
  <c r="F555" i="6"/>
  <c r="O556" i="6"/>
  <c r="J552" i="6"/>
  <c r="F566" i="6"/>
  <c r="Q588" i="6"/>
  <c r="H588" i="6"/>
  <c r="O604" i="6"/>
  <c r="J600" i="6"/>
  <c r="N618" i="6"/>
  <c r="P620" i="6"/>
  <c r="J630" i="6"/>
  <c r="Q724" i="6"/>
  <c r="M708" i="6"/>
  <c r="M716" i="6"/>
  <c r="L742" i="6"/>
  <c r="Q742" i="6"/>
  <c r="O1062" i="6"/>
  <c r="N455" i="6"/>
  <c r="N457" i="6"/>
  <c r="J469" i="6"/>
  <c r="J471" i="6"/>
  <c r="I505" i="6"/>
  <c r="J519" i="6"/>
  <c r="L539" i="6"/>
  <c r="P556" i="6"/>
  <c r="N554" i="6"/>
  <c r="O572" i="6"/>
  <c r="J564" i="6"/>
  <c r="I572" i="6"/>
  <c r="J584" i="6"/>
  <c r="K636" i="6"/>
  <c r="J646" i="6"/>
  <c r="F662" i="6"/>
  <c r="F664" i="6"/>
  <c r="F666" i="6"/>
  <c r="K713" i="6"/>
  <c r="M714" i="6"/>
  <c r="M722" i="6"/>
  <c r="M723" i="6"/>
  <c r="AL970" i="6"/>
  <c r="AL978" i="6"/>
  <c r="M652" i="6"/>
  <c r="G652" i="6"/>
  <c r="O652" i="6"/>
  <c r="J648" i="6"/>
  <c r="AD662" i="6"/>
  <c r="AD664" i="6"/>
  <c r="AD666" i="6"/>
  <c r="H698" i="6"/>
  <c r="L698" i="6"/>
  <c r="Q698" i="6"/>
  <c r="O698" i="6"/>
  <c r="P742" i="6"/>
  <c r="J738" i="6"/>
  <c r="J740" i="6"/>
  <c r="I771" i="6"/>
  <c r="M771" i="6"/>
  <c r="I816" i="6"/>
  <c r="M816" i="6"/>
  <c r="L802" i="6"/>
  <c r="L804" i="6"/>
  <c r="L810" i="6"/>
  <c r="L812" i="6"/>
  <c r="H850" i="6"/>
  <c r="H852" i="6"/>
  <c r="H854" i="6"/>
  <c r="H858" i="6"/>
  <c r="H860" i="6"/>
  <c r="H862" i="6"/>
  <c r="I917" i="6"/>
  <c r="N917" i="6"/>
  <c r="S917" i="6"/>
  <c r="L907" i="6"/>
  <c r="L915" i="6"/>
  <c r="AA979" i="6"/>
  <c r="AA974" i="6"/>
  <c r="Q990" i="6"/>
  <c r="Q992" i="6"/>
  <c r="I1015" i="6"/>
  <c r="N1015" i="6"/>
  <c r="AK1036" i="6"/>
  <c r="O1078" i="6"/>
  <c r="O1080" i="6"/>
  <c r="O1104" i="6"/>
  <c r="O1106" i="6"/>
  <c r="Y1116" i="6"/>
  <c r="O1116" i="6"/>
  <c r="K1131" i="6"/>
  <c r="K1133" i="6"/>
  <c r="K1135" i="6"/>
  <c r="K1143" i="6"/>
  <c r="K1145" i="6"/>
  <c r="K1147" i="6"/>
  <c r="Y1172" i="6"/>
  <c r="Y1193" i="6"/>
  <c r="Y1220" i="6"/>
  <c r="Y1222" i="6"/>
  <c r="N771" i="6"/>
  <c r="P755" i="6"/>
  <c r="P757" i="6"/>
  <c r="P759" i="6"/>
  <c r="N816" i="6"/>
  <c r="P802" i="6"/>
  <c r="P804" i="6"/>
  <c r="P806" i="6"/>
  <c r="P810" i="6"/>
  <c r="P812" i="6"/>
  <c r="L852" i="6"/>
  <c r="L854" i="6"/>
  <c r="L856" i="6"/>
  <c r="L860" i="6"/>
  <c r="L862" i="6"/>
  <c r="J917" i="6"/>
  <c r="P913" i="6"/>
  <c r="AI980" i="6"/>
  <c r="F998" i="6"/>
  <c r="Q1014" i="6"/>
  <c r="J1015" i="6"/>
  <c r="Y1035" i="6"/>
  <c r="AE1036" i="6"/>
  <c r="Y1072" i="6"/>
  <c r="Y1070" i="6"/>
  <c r="O1096" i="6"/>
  <c r="O1098" i="6"/>
  <c r="O1100" i="6"/>
  <c r="Y1166" i="6"/>
  <c r="Y1218" i="6"/>
  <c r="G1015" i="6"/>
  <c r="K1015" i="6"/>
  <c r="Y1026" i="6"/>
  <c r="Y1214" i="6"/>
  <c r="Q620" i="6"/>
  <c r="O620" i="6"/>
  <c r="J616" i="6"/>
  <c r="Q636" i="6"/>
  <c r="O636" i="6"/>
  <c r="J632" i="6"/>
  <c r="Q652" i="6"/>
  <c r="H652" i="6"/>
  <c r="P698" i="6"/>
  <c r="O710" i="6"/>
  <c r="O714" i="6"/>
  <c r="O718" i="6"/>
  <c r="O722" i="6"/>
  <c r="J741" i="6"/>
  <c r="I742" i="6"/>
  <c r="F736" i="6"/>
  <c r="F738" i="6"/>
  <c r="F740" i="6"/>
  <c r="H751" i="6"/>
  <c r="H753" i="6"/>
  <c r="H800" i="6"/>
  <c r="L800" i="6"/>
  <c r="H802" i="6"/>
  <c r="H804" i="6"/>
  <c r="H810" i="6"/>
  <c r="H812" i="6"/>
  <c r="P907" i="6"/>
  <c r="M917" i="6"/>
  <c r="R917" i="6"/>
  <c r="P903" i="6"/>
  <c r="H905" i="6"/>
  <c r="H907" i="6"/>
  <c r="H913" i="6"/>
  <c r="H915" i="6"/>
  <c r="F1013" i="6"/>
  <c r="AG1036" i="6"/>
  <c r="Y1032" i="6"/>
  <c r="AE1107" i="6"/>
  <c r="O1108" i="6"/>
  <c r="O1110" i="6"/>
  <c r="O1112" i="6"/>
  <c r="Y1122" i="6"/>
  <c r="K1129" i="6"/>
  <c r="K1137" i="6"/>
  <c r="K1139" i="6"/>
  <c r="K1141" i="6"/>
  <c r="K1149" i="6"/>
  <c r="O1152" i="6"/>
  <c r="O1135" i="6"/>
  <c r="O1167" i="6"/>
  <c r="O1169" i="6"/>
  <c r="O1171" i="6"/>
  <c r="Y1210" i="6"/>
  <c r="J98" i="6"/>
  <c r="J89" i="6"/>
  <c r="N98" i="6"/>
  <c r="I89" i="6"/>
  <c r="M89" i="6"/>
  <c r="Q89" i="6"/>
  <c r="Q99" i="6"/>
  <c r="M97" i="6"/>
  <c r="N50" i="6"/>
  <c r="F74" i="6"/>
  <c r="J74" i="6"/>
  <c r="N74" i="6"/>
  <c r="H80" i="6"/>
  <c r="H82" i="6"/>
  <c r="L80" i="6"/>
  <c r="L82" i="6"/>
  <c r="P80" i="6"/>
  <c r="P82" i="6"/>
  <c r="H81" i="6"/>
  <c r="L81" i="6"/>
  <c r="P81" i="6"/>
  <c r="H89" i="6"/>
  <c r="L89" i="6"/>
  <c r="P89" i="6"/>
  <c r="F93" i="6"/>
  <c r="J93" i="6"/>
  <c r="N93" i="6"/>
  <c r="H97" i="6"/>
  <c r="L97" i="6"/>
  <c r="P97" i="6"/>
  <c r="F108" i="6"/>
  <c r="J108" i="6"/>
  <c r="F131" i="6"/>
  <c r="J131" i="6"/>
  <c r="N131" i="6"/>
  <c r="J139" i="6"/>
  <c r="N139" i="6"/>
  <c r="N143" i="6"/>
  <c r="J147" i="6"/>
  <c r="N147" i="6"/>
  <c r="F148" i="6"/>
  <c r="N148" i="6"/>
  <c r="I218" i="6"/>
  <c r="I217" i="6"/>
  <c r="I209" i="6"/>
  <c r="I201" i="6"/>
  <c r="I215" i="6"/>
  <c r="I207" i="6"/>
  <c r="I199" i="6"/>
  <c r="K264" i="6"/>
  <c r="N252" i="6"/>
  <c r="N254" i="6"/>
  <c r="J258" i="6"/>
  <c r="N258" i="6"/>
  <c r="F260" i="6"/>
  <c r="F262" i="6"/>
  <c r="N301" i="6"/>
  <c r="J307" i="6"/>
  <c r="F318" i="6"/>
  <c r="N318" i="6"/>
  <c r="O339" i="6"/>
  <c r="K345" i="6"/>
  <c r="J380" i="6"/>
  <c r="F400" i="6"/>
  <c r="F399" i="6"/>
  <c r="K401" i="6"/>
  <c r="I442" i="6"/>
  <c r="M442" i="6"/>
  <c r="J451" i="6"/>
  <c r="G481" i="6"/>
  <c r="K481" i="6"/>
  <c r="N477" i="6"/>
  <c r="N479" i="6"/>
  <c r="O504" i="6"/>
  <c r="O503" i="6"/>
  <c r="O495" i="6"/>
  <c r="O489" i="6"/>
  <c r="G499" i="6"/>
  <c r="O499" i="6"/>
  <c r="G501" i="6"/>
  <c r="N741" i="6"/>
  <c r="N732" i="6"/>
  <c r="N734" i="6"/>
  <c r="N736" i="6"/>
  <c r="J48" i="6"/>
  <c r="N63" i="6"/>
  <c r="Q98" i="6"/>
  <c r="F114" i="6"/>
  <c r="J114" i="6"/>
  <c r="N114" i="6"/>
  <c r="F122" i="6"/>
  <c r="J122" i="6"/>
  <c r="N122" i="6"/>
  <c r="F123" i="6"/>
  <c r="J123" i="6"/>
  <c r="N123" i="6"/>
  <c r="F137" i="6"/>
  <c r="J137" i="6"/>
  <c r="N137" i="6"/>
  <c r="J145" i="6"/>
  <c r="N145" i="6"/>
  <c r="J262" i="6"/>
  <c r="N273" i="6"/>
  <c r="J291" i="6"/>
  <c r="J284" i="6"/>
  <c r="O349" i="6"/>
  <c r="O350" i="6"/>
  <c r="G497" i="6"/>
  <c r="F584" i="6"/>
  <c r="F580" i="6"/>
  <c r="F586" i="6"/>
  <c r="J602" i="6"/>
  <c r="J596" i="6"/>
  <c r="J598" i="6"/>
  <c r="N635" i="6"/>
  <c r="N628" i="6"/>
  <c r="N632" i="6"/>
  <c r="N630" i="6"/>
  <c r="I97" i="6"/>
  <c r="F46" i="6"/>
  <c r="N61" i="6"/>
  <c r="G72" i="6"/>
  <c r="K72" i="6"/>
  <c r="O72" i="6"/>
  <c r="F88" i="6"/>
  <c r="H149" i="6"/>
  <c r="L149" i="6"/>
  <c r="P149" i="6"/>
  <c r="N141" i="6"/>
  <c r="F143" i="6"/>
  <c r="F155" i="6"/>
  <c r="I197" i="6"/>
  <c r="I205" i="6"/>
  <c r="H213" i="6"/>
  <c r="F252" i="6"/>
  <c r="F263" i="6"/>
  <c r="F254" i="6"/>
  <c r="N260" i="6"/>
  <c r="N262" i="6"/>
  <c r="F271" i="6"/>
  <c r="N271" i="6"/>
  <c r="N291" i="6"/>
  <c r="N284" i="6"/>
  <c r="J288" i="6"/>
  <c r="N288" i="6"/>
  <c r="F290" i="6"/>
  <c r="J308" i="6"/>
  <c r="J299" i="6"/>
  <c r="O309" i="6"/>
  <c r="F327" i="6"/>
  <c r="F330" i="6"/>
  <c r="F329" i="6"/>
  <c r="Q351" i="6"/>
  <c r="G347" i="6"/>
  <c r="J382" i="6"/>
  <c r="J383" i="6"/>
  <c r="N383" i="6"/>
  <c r="G426" i="6"/>
  <c r="G428" i="6"/>
  <c r="N480" i="6"/>
  <c r="J475" i="6"/>
  <c r="N475" i="6"/>
  <c r="G504" i="6"/>
  <c r="N505" i="6"/>
  <c r="K495" i="6"/>
  <c r="O501" i="6"/>
  <c r="J568" i="6"/>
  <c r="J566" i="6"/>
  <c r="J570" i="6"/>
  <c r="F644" i="6"/>
  <c r="F648" i="6"/>
  <c r="F650" i="6"/>
  <c r="G723" i="6"/>
  <c r="G706" i="6"/>
  <c r="G720" i="6"/>
  <c r="G712" i="6"/>
  <c r="G716" i="6"/>
  <c r="G708" i="6"/>
  <c r="G714" i="6"/>
  <c r="G722" i="6"/>
  <c r="N48" i="6"/>
  <c r="F44" i="6"/>
  <c r="J44" i="6"/>
  <c r="N44" i="6"/>
  <c r="G80" i="6"/>
  <c r="K80" i="6"/>
  <c r="O80" i="6"/>
  <c r="G89" i="6"/>
  <c r="K89" i="6"/>
  <c r="O89" i="6"/>
  <c r="G97" i="6"/>
  <c r="K97" i="6"/>
  <c r="O97" i="6"/>
  <c r="N110" i="6"/>
  <c r="I149" i="6"/>
  <c r="M149" i="6"/>
  <c r="Q149" i="6"/>
  <c r="J143" i="6"/>
  <c r="G176" i="6"/>
  <c r="G175" i="6"/>
  <c r="G167" i="6"/>
  <c r="G159" i="6"/>
  <c r="G173" i="6"/>
  <c r="G165" i="6"/>
  <c r="G157" i="6"/>
  <c r="G155" i="6"/>
  <c r="F159" i="6"/>
  <c r="G161" i="6"/>
  <c r="G163" i="6"/>
  <c r="G169" i="6"/>
  <c r="H211" i="6"/>
  <c r="H203" i="6"/>
  <c r="H218" i="6"/>
  <c r="H217" i="6"/>
  <c r="H219" i="6"/>
  <c r="H209" i="6"/>
  <c r="H201" i="6"/>
  <c r="I203" i="6"/>
  <c r="I211" i="6"/>
  <c r="I213" i="6"/>
  <c r="J252" i="6"/>
  <c r="J263" i="6"/>
  <c r="O264" i="6"/>
  <c r="J254" i="6"/>
  <c r="F276" i="6"/>
  <c r="N275" i="6"/>
  <c r="J286" i="6"/>
  <c r="J290" i="6"/>
  <c r="N305" i="6"/>
  <c r="N308" i="6"/>
  <c r="N299" i="6"/>
  <c r="K309" i="6"/>
  <c r="J303" i="6"/>
  <c r="N303" i="6"/>
  <c r="F305" i="6"/>
  <c r="F307" i="6"/>
  <c r="J327" i="6"/>
  <c r="J330" i="6"/>
  <c r="J329" i="6"/>
  <c r="J351" i="6"/>
  <c r="N351" i="6"/>
  <c r="R351" i="6"/>
  <c r="K341" i="6"/>
  <c r="G343" i="6"/>
  <c r="G345" i="6"/>
  <c r="F380" i="6"/>
  <c r="F393" i="6"/>
  <c r="J393" i="6"/>
  <c r="N393" i="6"/>
  <c r="F395" i="6"/>
  <c r="F397" i="6"/>
  <c r="G438" i="6"/>
  <c r="H442" i="6"/>
  <c r="L442" i="6"/>
  <c r="P442" i="6"/>
  <c r="K428" i="6"/>
  <c r="K430" i="6"/>
  <c r="O436" i="6"/>
  <c r="O438" i="6"/>
  <c r="O440" i="6"/>
  <c r="F467" i="6"/>
  <c r="J467" i="6"/>
  <c r="N467" i="6"/>
  <c r="F469" i="6"/>
  <c r="F473" i="6"/>
  <c r="J477" i="6"/>
  <c r="J479" i="6"/>
  <c r="K504" i="6"/>
  <c r="J505" i="6"/>
  <c r="P505" i="6"/>
  <c r="K489" i="6"/>
  <c r="O493" i="6"/>
  <c r="O497" i="6"/>
  <c r="G523" i="6"/>
  <c r="L523" i="6"/>
  <c r="J515" i="6"/>
  <c r="N515" i="6"/>
  <c r="Q539" i="6"/>
  <c r="N587" i="6"/>
  <c r="N584" i="6"/>
  <c r="N580" i="6"/>
  <c r="J399" i="6"/>
  <c r="J400" i="6"/>
  <c r="N400" i="6"/>
  <c r="G432" i="6"/>
  <c r="K432" i="6"/>
  <c r="G440" i="6"/>
  <c r="K440" i="6"/>
  <c r="G441" i="6"/>
  <c r="K441" i="6"/>
  <c r="O441" i="6"/>
  <c r="F457" i="6"/>
  <c r="J457" i="6"/>
  <c r="F458" i="6"/>
  <c r="J458" i="6"/>
  <c r="N458" i="6"/>
  <c r="J473" i="6"/>
  <c r="G489" i="6"/>
  <c r="K497" i="6"/>
  <c r="F522" i="6"/>
  <c r="F513" i="6"/>
  <c r="N538" i="6"/>
  <c r="N535" i="6"/>
  <c r="N533" i="6"/>
  <c r="F535" i="6"/>
  <c r="F537" i="6"/>
  <c r="F571" i="6"/>
  <c r="J586" i="6"/>
  <c r="J603" i="6"/>
  <c r="N602" i="6"/>
  <c r="N619" i="6"/>
  <c r="N612" i="6"/>
  <c r="N616" i="6"/>
  <c r="F628" i="6"/>
  <c r="F632" i="6"/>
  <c r="F634" i="6"/>
  <c r="F651" i="6"/>
  <c r="K652" i="6"/>
  <c r="J650" i="6"/>
  <c r="J644" i="6"/>
  <c r="N696" i="6"/>
  <c r="N697" i="6"/>
  <c r="L708" i="6"/>
  <c r="L718" i="6"/>
  <c r="L714" i="6"/>
  <c r="L710" i="6"/>
  <c r="K707" i="6"/>
  <c r="L706" i="6"/>
  <c r="N710" i="6"/>
  <c r="K709" i="6"/>
  <c r="L716" i="6"/>
  <c r="K715" i="6"/>
  <c r="N718" i="6"/>
  <c r="N738" i="6"/>
  <c r="N740" i="6"/>
  <c r="H155" i="6"/>
  <c r="I161" i="6"/>
  <c r="H163" i="6"/>
  <c r="I169" i="6"/>
  <c r="H171" i="6"/>
  <c r="F196" i="6"/>
  <c r="F213" i="6"/>
  <c r="G203" i="6"/>
  <c r="G211" i="6"/>
  <c r="F284" i="6"/>
  <c r="F299" i="6"/>
  <c r="N330" i="6"/>
  <c r="G430" i="6"/>
  <c r="F471" i="6"/>
  <c r="N471" i="6"/>
  <c r="F479" i="6"/>
  <c r="G495" i="6"/>
  <c r="G503" i="6"/>
  <c r="J522" i="6"/>
  <c r="J513" i="6"/>
  <c r="O523" i="6"/>
  <c r="F519" i="6"/>
  <c r="N519" i="6"/>
  <c r="F521" i="6"/>
  <c r="N531" i="6"/>
  <c r="G539" i="6"/>
  <c r="J537" i="6"/>
  <c r="N555" i="6"/>
  <c r="N552" i="6"/>
  <c r="N550" i="6"/>
  <c r="F554" i="6"/>
  <c r="J571" i="6"/>
  <c r="F587" i="6"/>
  <c r="N586" i="6"/>
  <c r="N603" i="6"/>
  <c r="N596" i="6"/>
  <c r="N600" i="6"/>
  <c r="N614" i="6"/>
  <c r="F612" i="6"/>
  <c r="F616" i="6"/>
  <c r="F618" i="6"/>
  <c r="G636" i="6"/>
  <c r="J634" i="6"/>
  <c r="J628" i="6"/>
  <c r="Z667" i="6"/>
  <c r="Z660" i="6"/>
  <c r="Z662" i="6"/>
  <c r="Z664" i="6"/>
  <c r="Z666" i="6"/>
  <c r="G710" i="6"/>
  <c r="G718" i="6"/>
  <c r="K721" i="6"/>
  <c r="I155" i="6"/>
  <c r="H157" i="6"/>
  <c r="I163" i="6"/>
  <c r="H165" i="6"/>
  <c r="G197" i="6"/>
  <c r="G219" i="6"/>
  <c r="N522" i="6"/>
  <c r="N513" i="6"/>
  <c r="J517" i="6"/>
  <c r="J521" i="6"/>
  <c r="F538" i="6"/>
  <c r="N537" i="6"/>
  <c r="F548" i="6"/>
  <c r="N548" i="6"/>
  <c r="G556" i="6"/>
  <c r="K556" i="6"/>
  <c r="J554" i="6"/>
  <c r="J556" i="6"/>
  <c r="N571" i="6"/>
  <c r="N568" i="6"/>
  <c r="N566" i="6"/>
  <c r="F568" i="6"/>
  <c r="F570" i="6"/>
  <c r="J587" i="6"/>
  <c r="N598" i="6"/>
  <c r="F596" i="6"/>
  <c r="F600" i="6"/>
  <c r="F602" i="6"/>
  <c r="F619" i="6"/>
  <c r="G620" i="6"/>
  <c r="K620" i="6"/>
  <c r="J618" i="6"/>
  <c r="J612" i="6"/>
  <c r="J635" i="6"/>
  <c r="N634" i="6"/>
  <c r="N651" i="6"/>
  <c r="N644" i="6"/>
  <c r="N648" i="6"/>
  <c r="N723" i="6"/>
  <c r="N706" i="6"/>
  <c r="K705" i="6"/>
  <c r="N720" i="6"/>
  <c r="N716" i="6"/>
  <c r="N712" i="6"/>
  <c r="N708" i="6"/>
  <c r="L712" i="6"/>
  <c r="K711" i="6"/>
  <c r="N714" i="6"/>
  <c r="L720" i="6"/>
  <c r="K719" i="6"/>
  <c r="N722" i="6"/>
  <c r="L722" i="6"/>
  <c r="J736" i="6"/>
  <c r="L761" i="6"/>
  <c r="L755" i="6"/>
  <c r="L757" i="6"/>
  <c r="L763" i="6"/>
  <c r="L765" i="6"/>
  <c r="J734" i="6"/>
  <c r="P763" i="6"/>
  <c r="P765" i="6"/>
  <c r="P767" i="6"/>
  <c r="J732" i="6"/>
  <c r="L770" i="6"/>
  <c r="R771" i="6"/>
  <c r="F660" i="6"/>
  <c r="J660" i="6"/>
  <c r="AD660" i="6"/>
  <c r="O706" i="6"/>
  <c r="F741" i="6"/>
  <c r="G742" i="6"/>
  <c r="K742" i="6"/>
  <c r="O742" i="6"/>
  <c r="P770" i="6"/>
  <c r="P761" i="6"/>
  <c r="K771" i="6"/>
  <c r="L753" i="6"/>
  <c r="P753" i="6"/>
  <c r="H755" i="6"/>
  <c r="H757" i="6"/>
  <c r="H763" i="6"/>
  <c r="H765" i="6"/>
  <c r="L850" i="6"/>
  <c r="L858" i="6"/>
  <c r="P909" i="6"/>
  <c r="L913" i="6"/>
  <c r="AA972" i="6"/>
  <c r="AE972" i="6"/>
  <c r="AE974" i="6"/>
  <c r="AE976" i="6"/>
  <c r="Y1106" i="6"/>
  <c r="Y1089" i="6"/>
  <c r="Y1095" i="6"/>
  <c r="Y1097" i="6"/>
  <c r="Y1103" i="6"/>
  <c r="Y1105" i="6"/>
  <c r="O1054" i="6"/>
  <c r="O1056" i="6"/>
  <c r="H761" i="6"/>
  <c r="H808" i="6"/>
  <c r="L808" i="6"/>
  <c r="P808" i="6"/>
  <c r="H848" i="6"/>
  <c r="L848" i="6"/>
  <c r="P848" i="6"/>
  <c r="H856" i="6"/>
  <c r="H916" i="6"/>
  <c r="H901" i="6"/>
  <c r="O917" i="6"/>
  <c r="H911" i="6"/>
  <c r="P911" i="6"/>
  <c r="AL968" i="6"/>
  <c r="AA970" i="6"/>
  <c r="AE970" i="6"/>
  <c r="AL974" i="6"/>
  <c r="F996" i="6"/>
  <c r="F1007" i="6"/>
  <c r="F1009" i="6"/>
  <c r="Q1011" i="6"/>
  <c r="AM1216" i="6"/>
  <c r="AM1212" i="6"/>
  <c r="AM1208" i="6"/>
  <c r="AM1118" i="6"/>
  <c r="AM1114" i="6"/>
  <c r="AM1132" i="6"/>
  <c r="AM1128" i="6"/>
  <c r="AM1124" i="6"/>
  <c r="AM1035" i="6"/>
  <c r="AM1034" i="6"/>
  <c r="AM1130" i="6"/>
  <c r="AM1126" i="6"/>
  <c r="AM1026" i="6"/>
  <c r="AM1120" i="6"/>
  <c r="H759" i="6"/>
  <c r="L759" i="6"/>
  <c r="H767" i="6"/>
  <c r="L767" i="6"/>
  <c r="H806" i="6"/>
  <c r="L806" i="6"/>
  <c r="H846" i="6"/>
  <c r="L846" i="6"/>
  <c r="P846" i="6"/>
  <c r="P863" i="6"/>
  <c r="L916" i="6"/>
  <c r="L901" i="6"/>
  <c r="K917" i="6"/>
  <c r="H909" i="6"/>
  <c r="AL979" i="6"/>
  <c r="F990" i="6"/>
  <c r="F992" i="6"/>
  <c r="Q994" i="6"/>
  <c r="M1014" i="6"/>
  <c r="M1013" i="6"/>
  <c r="M1007" i="6"/>
  <c r="M1011" i="6"/>
  <c r="M1009" i="6"/>
  <c r="Q1009" i="6"/>
  <c r="F1011" i="6"/>
  <c r="Q1013" i="6"/>
  <c r="AM1024" i="6"/>
  <c r="AM1032" i="6"/>
  <c r="Y1099" i="6"/>
  <c r="Y1078" i="6"/>
  <c r="Y1055" i="6"/>
  <c r="AC1082" i="6"/>
  <c r="Y1074" i="6"/>
  <c r="AM1116" i="6"/>
  <c r="Y1128" i="6"/>
  <c r="Y1114" i="6"/>
  <c r="Y1195" i="6"/>
  <c r="P852" i="6"/>
  <c r="P916" i="6"/>
  <c r="P915" i="6"/>
  <c r="P901" i="6"/>
  <c r="L905" i="6"/>
  <c r="P905" i="6"/>
  <c r="L909" i="6"/>
  <c r="AL972" i="6"/>
  <c r="AA976" i="6"/>
  <c r="AA978" i="6"/>
  <c r="AE978" i="6"/>
  <c r="AE979" i="6"/>
  <c r="M998" i="6"/>
  <c r="M996" i="6"/>
  <c r="M988" i="6"/>
  <c r="M990" i="6"/>
  <c r="M994" i="6"/>
  <c r="M992" i="6"/>
  <c r="F994" i="6"/>
  <c r="Q996" i="6"/>
  <c r="AA1036" i="6"/>
  <c r="AI1036" i="6"/>
  <c r="AM1028" i="6"/>
  <c r="Y1047" i="6"/>
  <c r="Y1043" i="6"/>
  <c r="Y1053" i="6"/>
  <c r="AE1082" i="6"/>
  <c r="Y1080" i="6"/>
  <c r="Y1081" i="6"/>
  <c r="AM1122" i="6"/>
  <c r="Y1126" i="6"/>
  <c r="Y1132" i="6"/>
  <c r="Y1136" i="6"/>
  <c r="Y1157" i="6"/>
  <c r="Y1145" i="6"/>
  <c r="Y1143" i="6"/>
  <c r="Y1147" i="6"/>
  <c r="Y1149" i="6"/>
  <c r="Y1151" i="6"/>
  <c r="Y1155" i="6"/>
  <c r="Y1168" i="6"/>
  <c r="Y1164" i="6"/>
  <c r="Y1174" i="6"/>
  <c r="Y1176" i="6"/>
  <c r="Y1183" i="6"/>
  <c r="Y1185" i="6"/>
  <c r="AM1206" i="6"/>
  <c r="AM1210" i="6"/>
  <c r="AM1214" i="6"/>
  <c r="AM1218" i="6"/>
  <c r="F1014" i="6"/>
  <c r="Y1024" i="6"/>
  <c r="Y1028" i="6"/>
  <c r="Y1051" i="6"/>
  <c r="Y1066" i="6"/>
  <c r="Y1093" i="6"/>
  <c r="Y1101" i="6"/>
  <c r="Y1118" i="6"/>
  <c r="Y1134" i="6"/>
  <c r="Y1189" i="6"/>
  <c r="Y1197" i="6"/>
  <c r="Y1208" i="6"/>
  <c r="Y1212" i="6"/>
  <c r="Y1216" i="6"/>
  <c r="Y1022" i="6"/>
  <c r="O1094" i="6"/>
  <c r="O1102" i="6"/>
  <c r="O1114" i="6"/>
  <c r="O1165" i="6"/>
  <c r="Y1206" i="6"/>
  <c r="Q988" i="6"/>
  <c r="Y1034" i="6"/>
  <c r="Y1049" i="6"/>
  <c r="Y1057" i="6"/>
  <c r="Y1076" i="6"/>
  <c r="Y1091" i="6"/>
  <c r="Y1187" i="6"/>
  <c r="K1094" i="6"/>
  <c r="K1096" i="6"/>
  <c r="K1086" i="6"/>
  <c r="N384" i="6"/>
  <c r="J80" i="6"/>
  <c r="J82" i="6"/>
  <c r="J277" i="6"/>
  <c r="I177" i="6"/>
  <c r="K1102" i="6"/>
  <c r="K1092" i="6"/>
  <c r="K1084" i="6"/>
  <c r="N698" i="6"/>
  <c r="K1100" i="6"/>
  <c r="K1090" i="6"/>
  <c r="K1082" i="6"/>
  <c r="F65" i="6"/>
  <c r="K1098" i="6"/>
  <c r="K1120" i="6"/>
  <c r="J65" i="6"/>
  <c r="J81" i="6"/>
  <c r="F80" i="6"/>
  <c r="F82" i="6"/>
  <c r="F81" i="6"/>
  <c r="F384" i="6"/>
  <c r="Q1015" i="6"/>
  <c r="O1070" i="6"/>
  <c r="O1068" i="6"/>
  <c r="O724" i="6"/>
  <c r="N652" i="6"/>
  <c r="N523" i="6"/>
  <c r="J539" i="6"/>
  <c r="F167" i="6"/>
  <c r="F171" i="6"/>
  <c r="F176" i="6"/>
  <c r="N65" i="6"/>
  <c r="O1064" i="6"/>
  <c r="F698" i="6"/>
  <c r="F157" i="6"/>
  <c r="O1052" i="6"/>
  <c r="F163" i="6"/>
  <c r="F169" i="6"/>
  <c r="N320" i="6"/>
  <c r="O1058" i="6"/>
  <c r="O1066" i="6"/>
  <c r="F175" i="6"/>
  <c r="F177" i="6"/>
  <c r="F161" i="6"/>
  <c r="F320" i="6"/>
  <c r="J588" i="6"/>
  <c r="F539" i="6"/>
  <c r="N72" i="6"/>
  <c r="N82" i="6"/>
  <c r="K1114" i="6"/>
  <c r="K1116" i="6"/>
  <c r="K1108" i="6"/>
  <c r="K1112" i="6"/>
  <c r="K1106" i="6"/>
  <c r="K1080" i="6"/>
  <c r="K1110" i="6"/>
  <c r="K1104" i="6"/>
  <c r="K1078" i="6"/>
  <c r="K1118" i="6"/>
  <c r="F292" i="6"/>
  <c r="N401" i="6"/>
  <c r="F165" i="6"/>
  <c r="N81" i="6"/>
  <c r="F742" i="6"/>
  <c r="F277" i="6"/>
  <c r="Q999" i="6"/>
  <c r="F459" i="6"/>
  <c r="J401" i="6"/>
  <c r="G351" i="6"/>
  <c r="J99" i="6"/>
  <c r="AM1036" i="6"/>
  <c r="AD668" i="6"/>
  <c r="F620" i="6"/>
  <c r="F636" i="6"/>
  <c r="N481" i="6"/>
  <c r="K351" i="6"/>
  <c r="N309" i="6"/>
  <c r="G99" i="6"/>
  <c r="N54" i="6"/>
  <c r="J572" i="6"/>
  <c r="J124" i="6"/>
  <c r="P99" i="6"/>
  <c r="N97" i="6"/>
  <c r="N99" i="6"/>
  <c r="L816" i="6"/>
  <c r="J668" i="6"/>
  <c r="J54" i="6"/>
  <c r="J698" i="6"/>
  <c r="AA980" i="6"/>
  <c r="P816" i="6"/>
  <c r="F668" i="6"/>
  <c r="F572" i="6"/>
  <c r="H177" i="6"/>
  <c r="N124" i="6"/>
  <c r="F54" i="6"/>
  <c r="M724" i="6"/>
  <c r="N459" i="6"/>
  <c r="H816" i="6"/>
  <c r="AE980" i="6"/>
  <c r="F309" i="6"/>
  <c r="O442" i="6"/>
  <c r="N292" i="6"/>
  <c r="I219" i="6"/>
  <c r="F588" i="6"/>
  <c r="J384" i="6"/>
  <c r="F124" i="6"/>
  <c r="L99" i="6"/>
  <c r="H771" i="6"/>
  <c r="F999" i="6"/>
  <c r="P771" i="6"/>
  <c r="K720" i="6"/>
  <c r="F604" i="6"/>
  <c r="F556" i="6"/>
  <c r="F331" i="6"/>
  <c r="F264" i="6"/>
  <c r="Y1036" i="6"/>
  <c r="H864" i="6"/>
  <c r="AL980" i="6"/>
  <c r="L771" i="6"/>
  <c r="K714" i="6"/>
  <c r="J620" i="6"/>
  <c r="N572" i="6"/>
  <c r="K442" i="6"/>
  <c r="O1147" i="6"/>
  <c r="O1145" i="6"/>
  <c r="O1143" i="6"/>
  <c r="O1133" i="6"/>
  <c r="O1131" i="6"/>
  <c r="O1151" i="6"/>
  <c r="O1149" i="6"/>
  <c r="O1141" i="6"/>
  <c r="O1139" i="6"/>
  <c r="O1137" i="6"/>
  <c r="O1129" i="6"/>
  <c r="M999" i="6"/>
  <c r="L917" i="6"/>
  <c r="L864" i="6"/>
  <c r="F1015" i="6"/>
  <c r="K712" i="6"/>
  <c r="N556" i="6"/>
  <c r="J636" i="6"/>
  <c r="N604" i="6"/>
  <c r="K716" i="6"/>
  <c r="L724" i="6"/>
  <c r="J652" i="6"/>
  <c r="N620" i="6"/>
  <c r="F523" i="6"/>
  <c r="N588" i="6"/>
  <c r="F481" i="6"/>
  <c r="J331" i="6"/>
  <c r="J264" i="6"/>
  <c r="G177" i="6"/>
  <c r="O99" i="6"/>
  <c r="G724" i="6"/>
  <c r="F652" i="6"/>
  <c r="J309" i="6"/>
  <c r="K82" i="6"/>
  <c r="J292" i="6"/>
  <c r="O505" i="6"/>
  <c r="J459" i="6"/>
  <c r="F149" i="6"/>
  <c r="M99" i="6"/>
  <c r="F203" i="6"/>
  <c r="H917" i="6"/>
  <c r="Y1107" i="6"/>
  <c r="K708" i="6"/>
  <c r="K99" i="6"/>
  <c r="F98" i="6"/>
  <c r="F89" i="6"/>
  <c r="G82" i="6"/>
  <c r="N742" i="6"/>
  <c r="O351" i="6"/>
  <c r="F215" i="6"/>
  <c r="I99" i="6"/>
  <c r="F97" i="6"/>
  <c r="K723" i="6"/>
  <c r="K706" i="6"/>
  <c r="Z668" i="6"/>
  <c r="J523" i="6"/>
  <c r="K710" i="6"/>
  <c r="K505" i="6"/>
  <c r="F401" i="6"/>
  <c r="G442" i="6"/>
  <c r="J604" i="6"/>
  <c r="N149" i="6"/>
  <c r="Y1082" i="6"/>
  <c r="P917" i="6"/>
  <c r="M1015" i="6"/>
  <c r="P864" i="6"/>
  <c r="J742" i="6"/>
  <c r="N724" i="6"/>
  <c r="K722" i="6"/>
  <c r="N539" i="6"/>
  <c r="F207" i="6"/>
  <c r="F199" i="6"/>
  <c r="F197" i="6"/>
  <c r="F209" i="6"/>
  <c r="F201" i="6"/>
  <c r="F218" i="6"/>
  <c r="F217" i="6"/>
  <c r="G505" i="6"/>
  <c r="J481" i="6"/>
  <c r="N277" i="6"/>
  <c r="O82" i="6"/>
  <c r="N636" i="6"/>
  <c r="K718" i="6"/>
  <c r="N264" i="6"/>
  <c r="F205" i="6"/>
  <c r="J149" i="6"/>
  <c r="H99" i="6"/>
  <c r="F211" i="6"/>
  <c r="K724" i="6"/>
  <c r="F99" i="6"/>
  <c r="F219" i="6"/>
</calcChain>
</file>

<file path=xl/sharedStrings.xml><?xml version="1.0" encoding="utf-8"?>
<sst xmlns="http://schemas.openxmlformats.org/spreadsheetml/2006/main" count="1305" uniqueCount="458">
  <si>
    <t>なし</t>
    <phoneticPr fontId="1"/>
  </si>
  <si>
    <t>友人などからの紹介</t>
    <rPh sb="0" eb="2">
      <t>ユウジン</t>
    </rPh>
    <rPh sb="7" eb="9">
      <t>ショウカイ</t>
    </rPh>
    <phoneticPr fontId="1"/>
  </si>
  <si>
    <t>カンファレンスへの参加</t>
    <rPh sb="9" eb="11">
      <t>サンカ</t>
    </rPh>
    <phoneticPr fontId="1"/>
  </si>
  <si>
    <t>勤務なし（休み）</t>
    <rPh sb="0" eb="2">
      <t>キンム</t>
    </rPh>
    <rPh sb="5" eb="6">
      <t>ヤス</t>
    </rPh>
    <phoneticPr fontId="1"/>
  </si>
  <si>
    <t>１年</t>
    <rPh sb="1" eb="2">
      <t>ネン</t>
    </rPh>
    <phoneticPr fontId="1"/>
  </si>
  <si>
    <t>２～４年</t>
    <rPh sb="3" eb="4">
      <t>ネン</t>
    </rPh>
    <phoneticPr fontId="1"/>
  </si>
  <si>
    <t>５～９年</t>
    <rPh sb="3" eb="4">
      <t>ネン</t>
    </rPh>
    <phoneticPr fontId="1"/>
  </si>
  <si>
    <t>給与が良い</t>
    <rPh sb="0" eb="2">
      <t>キュウヨ</t>
    </rPh>
    <rPh sb="3" eb="4">
      <t>ヨ</t>
    </rPh>
    <phoneticPr fontId="1"/>
  </si>
  <si>
    <t>あり</t>
    <phoneticPr fontId="1"/>
  </si>
  <si>
    <t>行っていない</t>
    <rPh sb="0" eb="1">
      <t>イ</t>
    </rPh>
    <phoneticPr fontId="1"/>
  </si>
  <si>
    <t>北海道</t>
    <rPh sb="0" eb="3">
      <t>ホッカイドウ</t>
    </rPh>
    <phoneticPr fontId="1"/>
  </si>
  <si>
    <t>地域医療に対する勤務医アンケート調査結果</t>
    <rPh sb="0" eb="4">
      <t>チイキイリョウ</t>
    </rPh>
    <rPh sb="5" eb="6">
      <t>タイ</t>
    </rPh>
    <rPh sb="8" eb="11">
      <t>キンムイ</t>
    </rPh>
    <rPh sb="16" eb="18">
      <t>チョウサ</t>
    </rPh>
    <rPh sb="18" eb="20">
      <t>ケッカ</t>
    </rPh>
    <phoneticPr fontId="7"/>
  </si>
  <si>
    <t>令和４年（2022年）３月</t>
    <rPh sb="0" eb="2">
      <t>レイワ</t>
    </rPh>
    <rPh sb="3" eb="4">
      <t>ネン</t>
    </rPh>
    <rPh sb="9" eb="10">
      <t>ネン</t>
    </rPh>
    <rPh sb="12" eb="13">
      <t>ガツ</t>
    </rPh>
    <phoneticPr fontId="1"/>
  </si>
  <si>
    <t>１　調査目的</t>
    <rPh sb="2" eb="4">
      <t>チョウサ</t>
    </rPh>
    <rPh sb="4" eb="6">
      <t>モクテキ</t>
    </rPh>
    <phoneticPr fontId="1"/>
  </si>
  <si>
    <t>　　都市部や地域に勤務している医師を対象に、地域勤務に対する意向等を調査し、今後の医師確保対策を講じるための基礎資料とすること。</t>
    <rPh sb="2" eb="5">
      <t>トシブ</t>
    </rPh>
    <rPh sb="6" eb="8">
      <t>チイキ</t>
    </rPh>
    <rPh sb="9" eb="11">
      <t>キンム</t>
    </rPh>
    <rPh sb="15" eb="17">
      <t>イシ</t>
    </rPh>
    <rPh sb="18" eb="20">
      <t>タイショウ</t>
    </rPh>
    <rPh sb="22" eb="24">
      <t>チイキ</t>
    </rPh>
    <rPh sb="24" eb="26">
      <t>キンム</t>
    </rPh>
    <rPh sb="27" eb="28">
      <t>タイ</t>
    </rPh>
    <rPh sb="30" eb="32">
      <t>イコウ</t>
    </rPh>
    <rPh sb="32" eb="33">
      <t>トウ</t>
    </rPh>
    <rPh sb="34" eb="36">
      <t>チョウサ</t>
    </rPh>
    <rPh sb="38" eb="40">
      <t>コンゴ</t>
    </rPh>
    <rPh sb="41" eb="43">
      <t>イシ</t>
    </rPh>
    <rPh sb="43" eb="45">
      <t>カクホ</t>
    </rPh>
    <rPh sb="45" eb="47">
      <t>タイサク</t>
    </rPh>
    <rPh sb="48" eb="49">
      <t>コウ</t>
    </rPh>
    <rPh sb="54" eb="56">
      <t>キソ</t>
    </rPh>
    <rPh sb="56" eb="58">
      <t>シリョウ</t>
    </rPh>
    <phoneticPr fontId="1"/>
  </si>
  <si>
    <t>２　調査対象</t>
    <rPh sb="2" eb="4">
      <t>チョウサ</t>
    </rPh>
    <rPh sb="4" eb="6">
      <t>タイショウ</t>
    </rPh>
    <phoneticPr fontId="1"/>
  </si>
  <si>
    <t>　　次に掲げる病院に勤務する常勤医（非常勤医、嘱託勤務医等又は初期臨床研修中の医師を除く）</t>
    <rPh sb="2" eb="3">
      <t>ツギ</t>
    </rPh>
    <rPh sb="4" eb="5">
      <t>カカ</t>
    </rPh>
    <rPh sb="7" eb="9">
      <t>ビョウイン</t>
    </rPh>
    <rPh sb="10" eb="12">
      <t>キンム</t>
    </rPh>
    <rPh sb="14" eb="17">
      <t>ジョウキンイ</t>
    </rPh>
    <rPh sb="18" eb="21">
      <t>ヒジョウキン</t>
    </rPh>
    <rPh sb="21" eb="22">
      <t>イ</t>
    </rPh>
    <rPh sb="23" eb="25">
      <t>ショクタク</t>
    </rPh>
    <rPh sb="25" eb="28">
      <t>キンムイ</t>
    </rPh>
    <rPh sb="28" eb="29">
      <t>トウ</t>
    </rPh>
    <rPh sb="29" eb="30">
      <t>マタ</t>
    </rPh>
    <rPh sb="31" eb="33">
      <t>ショキ</t>
    </rPh>
    <rPh sb="33" eb="35">
      <t>リンショウ</t>
    </rPh>
    <rPh sb="35" eb="38">
      <t>ケンシュウチュウ</t>
    </rPh>
    <rPh sb="39" eb="41">
      <t>イシ</t>
    </rPh>
    <rPh sb="42" eb="43">
      <t>ノゾ</t>
    </rPh>
    <phoneticPr fontId="1"/>
  </si>
  <si>
    <t>地方の病院（人口１万人未満の市町村に所在する市町村立病院及び公的病院）</t>
    <rPh sb="0" eb="2">
      <t>チホウ</t>
    </rPh>
    <rPh sb="3" eb="5">
      <t>ビョウイン</t>
    </rPh>
    <rPh sb="6" eb="8">
      <t>ジンコウ</t>
    </rPh>
    <rPh sb="9" eb="11">
      <t>マンニン</t>
    </rPh>
    <rPh sb="11" eb="13">
      <t>ミマン</t>
    </rPh>
    <rPh sb="14" eb="17">
      <t>シチョウソン</t>
    </rPh>
    <rPh sb="18" eb="20">
      <t>ショザイ</t>
    </rPh>
    <rPh sb="22" eb="25">
      <t>シチョウソン</t>
    </rPh>
    <rPh sb="25" eb="26">
      <t>リツ</t>
    </rPh>
    <rPh sb="26" eb="28">
      <t>ビョウイン</t>
    </rPh>
    <rPh sb="28" eb="29">
      <t>オヨ</t>
    </rPh>
    <rPh sb="30" eb="32">
      <t>コウテキ</t>
    </rPh>
    <rPh sb="32" eb="34">
      <t>ビョウイン</t>
    </rPh>
    <phoneticPr fontId="1"/>
  </si>
  <si>
    <t>都市部の病院（札幌市、旭川市で初期臨床研修医を有する市立病院及び公的病院）</t>
    <rPh sb="0" eb="3">
      <t>トシブ</t>
    </rPh>
    <rPh sb="4" eb="6">
      <t>ビョウイン</t>
    </rPh>
    <rPh sb="7" eb="9">
      <t>サッポロ</t>
    </rPh>
    <rPh sb="9" eb="10">
      <t>シ</t>
    </rPh>
    <rPh sb="11" eb="13">
      <t>アサヒカワ</t>
    </rPh>
    <rPh sb="13" eb="14">
      <t>シ</t>
    </rPh>
    <rPh sb="15" eb="17">
      <t>ショキ</t>
    </rPh>
    <rPh sb="17" eb="19">
      <t>リンショウ</t>
    </rPh>
    <rPh sb="19" eb="22">
      <t>ケンシュウイ</t>
    </rPh>
    <rPh sb="23" eb="24">
      <t>ユウ</t>
    </rPh>
    <rPh sb="26" eb="28">
      <t>シリツ</t>
    </rPh>
    <rPh sb="28" eb="30">
      <t>ビョウイン</t>
    </rPh>
    <rPh sb="30" eb="31">
      <t>オヨ</t>
    </rPh>
    <rPh sb="32" eb="34">
      <t>コウテキ</t>
    </rPh>
    <rPh sb="34" eb="36">
      <t>ビョウイン</t>
    </rPh>
    <phoneticPr fontId="1"/>
  </si>
  <si>
    <t>地域センター病院</t>
    <rPh sb="0" eb="2">
      <t>チイキ</t>
    </rPh>
    <rPh sb="6" eb="8">
      <t>ビョウイン</t>
    </rPh>
    <phoneticPr fontId="1"/>
  </si>
  <si>
    <t>３　調査方法</t>
    <rPh sb="2" eb="4">
      <t>チョウサ</t>
    </rPh>
    <rPh sb="4" eb="6">
      <t>ホウホウ</t>
    </rPh>
    <phoneticPr fontId="1"/>
  </si>
  <si>
    <t>　（１）各病院を通じて、当該病院に勤務する医師に用紙を配布（令和３年10月25日）</t>
    <rPh sb="4" eb="7">
      <t>カクビョウイン</t>
    </rPh>
    <rPh sb="8" eb="9">
      <t>ツウ</t>
    </rPh>
    <rPh sb="12" eb="14">
      <t>トウガイ</t>
    </rPh>
    <rPh sb="14" eb="16">
      <t>ビョウイン</t>
    </rPh>
    <rPh sb="17" eb="19">
      <t>キンム</t>
    </rPh>
    <rPh sb="21" eb="23">
      <t>イシ</t>
    </rPh>
    <rPh sb="24" eb="26">
      <t>ヨウシ</t>
    </rPh>
    <rPh sb="27" eb="29">
      <t>ハイフ</t>
    </rPh>
    <rPh sb="30" eb="32">
      <t>レイワ</t>
    </rPh>
    <rPh sb="33" eb="34">
      <t>ネン</t>
    </rPh>
    <rPh sb="36" eb="37">
      <t>ガツ</t>
    </rPh>
    <rPh sb="39" eb="40">
      <t>ニチ</t>
    </rPh>
    <phoneticPr fontId="1"/>
  </si>
  <si>
    <t>　（２）各病院がアンケート用紙を取りまとめ、道へ送付</t>
    <rPh sb="4" eb="7">
      <t>カクビョウイン</t>
    </rPh>
    <rPh sb="13" eb="15">
      <t>ヨウシ</t>
    </rPh>
    <rPh sb="16" eb="17">
      <t>ト</t>
    </rPh>
    <rPh sb="22" eb="23">
      <t>ドウ</t>
    </rPh>
    <rPh sb="24" eb="26">
      <t>ソウフ</t>
    </rPh>
    <phoneticPr fontId="1"/>
  </si>
  <si>
    <t>４　アンケート内容</t>
    <rPh sb="7" eb="9">
      <t>ナイヨウ</t>
    </rPh>
    <phoneticPr fontId="1"/>
  </si>
  <si>
    <t>　　医師の基本情報、現在の勤務環境及び地域勤務について　等</t>
    <rPh sb="2" eb="4">
      <t>イシ</t>
    </rPh>
    <rPh sb="5" eb="7">
      <t>キホン</t>
    </rPh>
    <rPh sb="7" eb="9">
      <t>ジョウホウ</t>
    </rPh>
    <rPh sb="10" eb="12">
      <t>ゲンザイ</t>
    </rPh>
    <rPh sb="13" eb="15">
      <t>キンム</t>
    </rPh>
    <rPh sb="15" eb="17">
      <t>カンキョウ</t>
    </rPh>
    <rPh sb="17" eb="18">
      <t>オヨ</t>
    </rPh>
    <rPh sb="19" eb="21">
      <t>チイキ</t>
    </rPh>
    <rPh sb="21" eb="23">
      <t>キンム</t>
    </rPh>
    <rPh sb="28" eb="29">
      <t>トウ</t>
    </rPh>
    <phoneticPr fontId="1"/>
  </si>
  <si>
    <t>５　回答数</t>
    <rPh sb="2" eb="5">
      <t>カイトウスウ</t>
    </rPh>
    <phoneticPr fontId="7"/>
  </si>
  <si>
    <t>Ｒ３</t>
    <phoneticPr fontId="1"/>
  </si>
  <si>
    <t>Ｒ１</t>
    <phoneticPr fontId="1"/>
  </si>
  <si>
    <t>Ｈ２９</t>
    <phoneticPr fontId="1"/>
  </si>
  <si>
    <t>地　方</t>
    <rPh sb="0" eb="1">
      <t>チ</t>
    </rPh>
    <rPh sb="2" eb="3">
      <t>カタ</t>
    </rPh>
    <phoneticPr fontId="7"/>
  </si>
  <si>
    <t>都市部</t>
    <rPh sb="0" eb="3">
      <t>トシブ</t>
    </rPh>
    <phoneticPr fontId="7"/>
  </si>
  <si>
    <t>センター</t>
  </si>
  <si>
    <t>対象者数</t>
    <rPh sb="0" eb="3">
      <t>タイショウシャ</t>
    </rPh>
    <rPh sb="3" eb="4">
      <t>スウ</t>
    </rPh>
    <phoneticPr fontId="7"/>
  </si>
  <si>
    <t>回答数</t>
    <rPh sb="0" eb="3">
      <t>カイトウスウ</t>
    </rPh>
    <phoneticPr fontId="7"/>
  </si>
  <si>
    <t>病
床
数</t>
    <rPh sb="0" eb="1">
      <t>ヤマイ</t>
    </rPh>
    <rPh sb="2" eb="3">
      <t>ユカ</t>
    </rPh>
    <rPh sb="4" eb="5">
      <t>カズ</t>
    </rPh>
    <phoneticPr fontId="1"/>
  </si>
  <si>
    <t>100床未満</t>
    <rPh sb="3" eb="4">
      <t>ユカ</t>
    </rPh>
    <rPh sb="4" eb="6">
      <t>ミマン</t>
    </rPh>
    <phoneticPr fontId="1"/>
  </si>
  <si>
    <t>100～299床</t>
    <rPh sb="7" eb="8">
      <t>ユカ</t>
    </rPh>
    <phoneticPr fontId="1"/>
  </si>
  <si>
    <t>300～499床</t>
    <rPh sb="7" eb="8">
      <t>ユカ</t>
    </rPh>
    <phoneticPr fontId="1"/>
  </si>
  <si>
    <t>500～699床</t>
    <rPh sb="7" eb="8">
      <t>ユカ</t>
    </rPh>
    <phoneticPr fontId="1"/>
  </si>
  <si>
    <t>700床以上</t>
    <rPh sb="3" eb="4">
      <t>ユカ</t>
    </rPh>
    <rPh sb="4" eb="6">
      <t>イジョウ</t>
    </rPh>
    <phoneticPr fontId="1"/>
  </si>
  <si>
    <t>無回答</t>
    <rPh sb="0" eb="3">
      <t>ムカイトウ</t>
    </rPh>
    <phoneticPr fontId="1"/>
  </si>
  <si>
    <t>-</t>
    <phoneticPr fontId="1"/>
  </si>
  <si>
    <t>-</t>
  </si>
  <si>
    <t>回収率</t>
    <rPh sb="0" eb="3">
      <t>カイシュウリツ</t>
    </rPh>
    <phoneticPr fontId="7"/>
  </si>
  <si>
    <t>※平成29年度調査から各質問ごとの無回答は除いて割合を算出している</t>
    <rPh sb="1" eb="3">
      <t>ヘイセイ</t>
    </rPh>
    <rPh sb="5" eb="7">
      <t>ネンド</t>
    </rPh>
    <rPh sb="7" eb="9">
      <t>チョウサ</t>
    </rPh>
    <rPh sb="11" eb="14">
      <t>カクシツモン</t>
    </rPh>
    <rPh sb="17" eb="20">
      <t>ムカイトウ</t>
    </rPh>
    <rPh sb="21" eb="22">
      <t>ノゾ</t>
    </rPh>
    <rPh sb="24" eb="26">
      <t>ワリアイ</t>
    </rPh>
    <rPh sb="27" eb="29">
      <t>サンシュツ</t>
    </rPh>
    <phoneticPr fontId="1"/>
  </si>
  <si>
    <t>６　アンケート結果</t>
    <rPh sb="7" eb="9">
      <t>ケッカ</t>
    </rPh>
    <phoneticPr fontId="7"/>
  </si>
  <si>
    <t>■　回答者自身の状況について（無回答のものを含む）</t>
    <rPh sb="2" eb="5">
      <t>カイトウシャ</t>
    </rPh>
    <rPh sb="5" eb="7">
      <t>ジシン</t>
    </rPh>
    <rPh sb="8" eb="10">
      <t>ジョウキョウ</t>
    </rPh>
    <rPh sb="15" eb="18">
      <t>ムカイトウ</t>
    </rPh>
    <rPh sb="22" eb="23">
      <t>フク</t>
    </rPh>
    <phoneticPr fontId="1"/>
  </si>
  <si>
    <t>①　年齢区分</t>
    <rPh sb="2" eb="4">
      <t>ネンレイ</t>
    </rPh>
    <rPh sb="4" eb="6">
      <t>クブン</t>
    </rPh>
    <phoneticPr fontId="7"/>
  </si>
  <si>
    <t>２　０　代</t>
    <rPh sb="4" eb="5">
      <t>ダイ</t>
    </rPh>
    <phoneticPr fontId="7"/>
  </si>
  <si>
    <t>３　０　代</t>
    <rPh sb="4" eb="5">
      <t>ダイ</t>
    </rPh>
    <phoneticPr fontId="7"/>
  </si>
  <si>
    <t>４　０　代</t>
    <rPh sb="4" eb="5">
      <t>ダイ</t>
    </rPh>
    <phoneticPr fontId="7"/>
  </si>
  <si>
    <t>５　０　代</t>
    <rPh sb="4" eb="5">
      <t>ダイ</t>
    </rPh>
    <phoneticPr fontId="7"/>
  </si>
  <si>
    <t>６０代以上</t>
    <rPh sb="2" eb="3">
      <t>ダイ</t>
    </rPh>
    <rPh sb="3" eb="5">
      <t>イジョウ</t>
    </rPh>
    <phoneticPr fontId="7"/>
  </si>
  <si>
    <t>計</t>
    <rPh sb="0" eb="1">
      <t>ケイ</t>
    </rPh>
    <phoneticPr fontId="7"/>
  </si>
  <si>
    <t>②　性別</t>
    <rPh sb="2" eb="4">
      <t>セイベツ</t>
    </rPh>
    <phoneticPr fontId="7"/>
  </si>
  <si>
    <t>男性</t>
    <rPh sb="0" eb="2">
      <t>ダンセイ</t>
    </rPh>
    <phoneticPr fontId="7"/>
  </si>
  <si>
    <t>女性</t>
    <rPh sb="0" eb="2">
      <t>ジョセイ</t>
    </rPh>
    <phoneticPr fontId="7"/>
  </si>
  <si>
    <t>無回答</t>
    <rPh sb="0" eb="3">
      <t>ムカイトウ</t>
    </rPh>
    <phoneticPr fontId="7"/>
  </si>
  <si>
    <t>③　配偶者</t>
    <rPh sb="2" eb="5">
      <t>ハイグウシャ</t>
    </rPh>
    <phoneticPr fontId="7"/>
  </si>
  <si>
    <t>あ　り</t>
  </si>
  <si>
    <t>同　居</t>
    <rPh sb="0" eb="1">
      <t>ドウ</t>
    </rPh>
    <rPh sb="2" eb="3">
      <t>キョ</t>
    </rPh>
    <phoneticPr fontId="7"/>
  </si>
  <si>
    <t>別　居</t>
    <rPh sb="0" eb="1">
      <t>ベツ</t>
    </rPh>
    <rPh sb="2" eb="3">
      <t>キョ</t>
    </rPh>
    <phoneticPr fontId="7"/>
  </si>
  <si>
    <t>同居・別居</t>
    <rPh sb="0" eb="2">
      <t>ドウキョ</t>
    </rPh>
    <rPh sb="3" eb="5">
      <t>ベッキョ</t>
    </rPh>
    <phoneticPr fontId="7"/>
  </si>
  <si>
    <t>な　し</t>
  </si>
  <si>
    <t>④　子ども</t>
    <rPh sb="2" eb="3">
      <t>コ</t>
    </rPh>
    <phoneticPr fontId="7"/>
  </si>
  <si>
    <t>⑤　出身地</t>
    <rPh sb="2" eb="5">
      <t>シュッシンチ</t>
    </rPh>
    <phoneticPr fontId="7"/>
  </si>
  <si>
    <t>北海道</t>
    <rPh sb="0" eb="3">
      <t>ホッカイドウ</t>
    </rPh>
    <phoneticPr fontId="7"/>
  </si>
  <si>
    <t>東北地方</t>
    <rPh sb="0" eb="2">
      <t>トウホク</t>
    </rPh>
    <rPh sb="2" eb="4">
      <t>チホウ</t>
    </rPh>
    <phoneticPr fontId="7"/>
  </si>
  <si>
    <t>関東地方</t>
    <rPh sb="0" eb="2">
      <t>カントウ</t>
    </rPh>
    <rPh sb="2" eb="4">
      <t>チホウ</t>
    </rPh>
    <phoneticPr fontId="7"/>
  </si>
  <si>
    <t>中部地方</t>
    <rPh sb="0" eb="2">
      <t>チュウブ</t>
    </rPh>
    <rPh sb="2" eb="4">
      <t>チホウ</t>
    </rPh>
    <phoneticPr fontId="7"/>
  </si>
  <si>
    <t>近畿地方</t>
    <rPh sb="0" eb="2">
      <t>キンキ</t>
    </rPh>
    <rPh sb="2" eb="4">
      <t>チホウ</t>
    </rPh>
    <phoneticPr fontId="7"/>
  </si>
  <si>
    <t>中国地方</t>
    <rPh sb="0" eb="2">
      <t>チュウゴク</t>
    </rPh>
    <rPh sb="2" eb="4">
      <t>チホウ</t>
    </rPh>
    <phoneticPr fontId="7"/>
  </si>
  <si>
    <t>四国地方</t>
    <rPh sb="0" eb="2">
      <t>シコク</t>
    </rPh>
    <rPh sb="2" eb="4">
      <t>チホウ</t>
    </rPh>
    <phoneticPr fontId="7"/>
  </si>
  <si>
    <t>九州・沖縄地方</t>
    <rPh sb="0" eb="2">
      <t>キュウシュウ</t>
    </rPh>
    <rPh sb="3" eb="5">
      <t>オキナワ</t>
    </rPh>
    <rPh sb="5" eb="7">
      <t>チホウ</t>
    </rPh>
    <phoneticPr fontId="7"/>
  </si>
  <si>
    <t>国外</t>
    <rPh sb="0" eb="2">
      <t>コクガイ</t>
    </rPh>
    <phoneticPr fontId="7"/>
  </si>
  <si>
    <t>⑥　卒業医学部</t>
    <rPh sb="2" eb="4">
      <t>ソツギョウ</t>
    </rPh>
    <rPh sb="4" eb="7">
      <t>イガクブ</t>
    </rPh>
    <phoneticPr fontId="7"/>
  </si>
  <si>
    <t>北海道</t>
    <rPh sb="0" eb="1">
      <t>キタ</t>
    </rPh>
    <rPh sb="1" eb="2">
      <t>ウミ</t>
    </rPh>
    <rPh sb="2" eb="3">
      <t>ミチ</t>
    </rPh>
    <phoneticPr fontId="7"/>
  </si>
  <si>
    <t>国　外</t>
    <rPh sb="0" eb="1">
      <t>クニ</t>
    </rPh>
    <rPh sb="2" eb="3">
      <t>ソト</t>
    </rPh>
    <phoneticPr fontId="7"/>
  </si>
  <si>
    <t>⑦　臨床研修（初期研修）</t>
    <rPh sb="2" eb="4">
      <t>リンショウ</t>
    </rPh>
    <rPh sb="4" eb="6">
      <t>ケンシュウ</t>
    </rPh>
    <rPh sb="7" eb="9">
      <t>ショキ</t>
    </rPh>
    <rPh sb="9" eb="11">
      <t>ケンシュウ</t>
    </rPh>
    <phoneticPr fontId="7"/>
  </si>
  <si>
    <t>行った</t>
    <rPh sb="0" eb="1">
      <t>イ</t>
    </rPh>
    <phoneticPr fontId="7"/>
  </si>
  <si>
    <t>東北地方</t>
    <rPh sb="0" eb="2">
      <t>トウホク</t>
    </rPh>
    <rPh sb="2" eb="4">
      <t>チホウ</t>
    </rPh>
    <phoneticPr fontId="1"/>
  </si>
  <si>
    <t>関東地方</t>
    <rPh sb="0" eb="2">
      <t>カントウ</t>
    </rPh>
    <rPh sb="2" eb="4">
      <t>チホウ</t>
    </rPh>
    <phoneticPr fontId="1"/>
  </si>
  <si>
    <t>中部地方</t>
    <rPh sb="0" eb="2">
      <t>チュウブ</t>
    </rPh>
    <rPh sb="2" eb="4">
      <t>チホウ</t>
    </rPh>
    <phoneticPr fontId="1"/>
  </si>
  <si>
    <t>近畿地方</t>
    <rPh sb="0" eb="2">
      <t>キンキ</t>
    </rPh>
    <rPh sb="2" eb="4">
      <t>チホウ</t>
    </rPh>
    <phoneticPr fontId="1"/>
  </si>
  <si>
    <t>中国地方</t>
    <rPh sb="0" eb="2">
      <t>チュウゴク</t>
    </rPh>
    <rPh sb="2" eb="4">
      <t>チホウ</t>
    </rPh>
    <phoneticPr fontId="1"/>
  </si>
  <si>
    <t>四国地方</t>
    <rPh sb="0" eb="2">
      <t>シコク</t>
    </rPh>
    <rPh sb="2" eb="4">
      <t>チホウ</t>
    </rPh>
    <phoneticPr fontId="1"/>
  </si>
  <si>
    <t>九州・沖縄</t>
    <rPh sb="0" eb="2">
      <t>キュウシュウ</t>
    </rPh>
    <rPh sb="3" eb="5">
      <t>オキナワ</t>
    </rPh>
    <phoneticPr fontId="1"/>
  </si>
  <si>
    <t>行ってない</t>
    <rPh sb="0" eb="1">
      <t>イ</t>
    </rPh>
    <phoneticPr fontId="1"/>
  </si>
  <si>
    <t>九州・沖縄
地方</t>
    <phoneticPr fontId="1"/>
  </si>
  <si>
    <t>国外</t>
    <rPh sb="0" eb="2">
      <t>コクガイ</t>
    </rPh>
    <phoneticPr fontId="1"/>
  </si>
  <si>
    <t>⑧　専門研修（後期研修）</t>
    <rPh sb="2" eb="4">
      <t>センモン</t>
    </rPh>
    <rPh sb="4" eb="6">
      <t>ケンシュウ</t>
    </rPh>
    <rPh sb="7" eb="9">
      <t>コウキ</t>
    </rPh>
    <rPh sb="9" eb="11">
      <t>ケンシュウ</t>
    </rPh>
    <phoneticPr fontId="7"/>
  </si>
  <si>
    <t>⑨　勤務病院所在地</t>
    <rPh sb="2" eb="4">
      <t>キンム</t>
    </rPh>
    <rPh sb="4" eb="6">
      <t>ビョウイン</t>
    </rPh>
    <rPh sb="6" eb="9">
      <t>ショザイチ</t>
    </rPh>
    <phoneticPr fontId="7"/>
  </si>
  <si>
    <t>道南</t>
    <rPh sb="0" eb="2">
      <t>ドウナン</t>
    </rPh>
    <phoneticPr fontId="7"/>
  </si>
  <si>
    <t>道央</t>
    <rPh sb="0" eb="2">
      <t>ドウオウ</t>
    </rPh>
    <phoneticPr fontId="7"/>
  </si>
  <si>
    <t>道北</t>
    <rPh sb="0" eb="2">
      <t>ドウホク</t>
    </rPh>
    <phoneticPr fontId="7"/>
  </si>
  <si>
    <t>オホーツク</t>
  </si>
  <si>
    <t>十勝</t>
    <rPh sb="0" eb="2">
      <t>トカチ</t>
    </rPh>
    <phoneticPr fontId="7"/>
  </si>
  <si>
    <t>釧路・根室</t>
    <rPh sb="0" eb="2">
      <t>クシロ</t>
    </rPh>
    <rPh sb="3" eb="5">
      <t>ネムロ</t>
    </rPh>
    <phoneticPr fontId="7"/>
  </si>
  <si>
    <t>⑩　勤務形態</t>
    <rPh sb="2" eb="4">
      <t>キンム</t>
    </rPh>
    <rPh sb="4" eb="6">
      <t>ケイタイ</t>
    </rPh>
    <phoneticPr fontId="7"/>
  </si>
  <si>
    <t>勤務医
（常勤）</t>
    <rPh sb="0" eb="3">
      <t>キンムイ</t>
    </rPh>
    <rPh sb="5" eb="7">
      <t>ジョウキン</t>
    </rPh>
    <phoneticPr fontId="7"/>
  </si>
  <si>
    <r>
      <t xml:space="preserve">勤務医
</t>
    </r>
    <r>
      <rPr>
        <sz val="8"/>
        <color theme="1"/>
        <rFont val="HGｺﾞｼｯｸM"/>
        <family val="3"/>
        <charset val="128"/>
      </rPr>
      <t>（常勤・短時間）</t>
    </r>
    <rPh sb="0" eb="3">
      <t>キンムイ</t>
    </rPh>
    <rPh sb="5" eb="7">
      <t>ジョウキン</t>
    </rPh>
    <rPh sb="8" eb="11">
      <t>タンジカン</t>
    </rPh>
    <phoneticPr fontId="7"/>
  </si>
  <si>
    <t>病院の管理者等（管理職）</t>
    <rPh sb="0" eb="2">
      <t>ビョウイン</t>
    </rPh>
    <rPh sb="3" eb="6">
      <t>カンリシャ</t>
    </rPh>
    <rPh sb="6" eb="7">
      <t>トウ</t>
    </rPh>
    <rPh sb="8" eb="11">
      <t>カンリショク</t>
    </rPh>
    <phoneticPr fontId="7"/>
  </si>
  <si>
    <t>⑪　勤務年数</t>
    <rPh sb="2" eb="4">
      <t>キンム</t>
    </rPh>
    <rPh sb="4" eb="6">
      <t>ネンスウ</t>
    </rPh>
    <phoneticPr fontId="7"/>
  </si>
  <si>
    <t>１～２年目</t>
    <rPh sb="3" eb="5">
      <t>ネンメ</t>
    </rPh>
    <phoneticPr fontId="7"/>
  </si>
  <si>
    <t>３～４年目</t>
    <rPh sb="3" eb="5">
      <t>ネンメ</t>
    </rPh>
    <phoneticPr fontId="7"/>
  </si>
  <si>
    <t>５～９年目</t>
    <rPh sb="3" eb="5">
      <t>ネンメ</t>
    </rPh>
    <phoneticPr fontId="7"/>
  </si>
  <si>
    <t>10年以上</t>
    <rPh sb="2" eb="5">
      <t>ネンイジョウ</t>
    </rPh>
    <phoneticPr fontId="7"/>
  </si>
  <si>
    <t>⑫　年収</t>
    <rPh sb="2" eb="4">
      <t>ネンシュウ</t>
    </rPh>
    <phoneticPr fontId="7"/>
  </si>
  <si>
    <t>500万円未満</t>
    <rPh sb="3" eb="5">
      <t>マンエン</t>
    </rPh>
    <rPh sb="5" eb="7">
      <t>ミマン</t>
    </rPh>
    <phoneticPr fontId="7"/>
  </si>
  <si>
    <t>500～999万円</t>
    <rPh sb="7" eb="9">
      <t>マンエン</t>
    </rPh>
    <phoneticPr fontId="1"/>
  </si>
  <si>
    <t>1,000～1,499万円</t>
    <rPh sb="11" eb="13">
      <t>マンエン</t>
    </rPh>
    <phoneticPr fontId="1"/>
  </si>
  <si>
    <t>1,500～1,999万円</t>
    <rPh sb="11" eb="13">
      <t>マンエン</t>
    </rPh>
    <phoneticPr fontId="1"/>
  </si>
  <si>
    <t>2,000万円以上</t>
    <rPh sb="5" eb="7">
      <t>マンエン</t>
    </rPh>
    <rPh sb="7" eb="9">
      <t>イジョウ</t>
    </rPh>
    <phoneticPr fontId="7"/>
  </si>
  <si>
    <t>⑬　専門医資格</t>
    <rPh sb="2" eb="5">
      <t>センモンイ</t>
    </rPh>
    <rPh sb="5" eb="7">
      <t>シカク</t>
    </rPh>
    <phoneticPr fontId="7"/>
  </si>
  <si>
    <t>⑭　指導医資格</t>
    <rPh sb="2" eb="5">
      <t>シドウイ</t>
    </rPh>
    <rPh sb="5" eb="7">
      <t>シカク</t>
    </rPh>
    <phoneticPr fontId="7"/>
  </si>
  <si>
    <t>■　現在勤務している医療機関の勤務環境等について</t>
    <rPh sb="2" eb="4">
      <t>ゲンザイ</t>
    </rPh>
    <rPh sb="4" eb="6">
      <t>キンム</t>
    </rPh>
    <rPh sb="10" eb="12">
      <t>イリョウ</t>
    </rPh>
    <rPh sb="12" eb="14">
      <t>キカン</t>
    </rPh>
    <rPh sb="15" eb="17">
      <t>キンム</t>
    </rPh>
    <rPh sb="17" eb="19">
      <t>カンキョウ</t>
    </rPh>
    <rPh sb="19" eb="20">
      <t>トウ</t>
    </rPh>
    <phoneticPr fontId="1"/>
  </si>
  <si>
    <t>問１　現在の病院に勤務することとなった経緯</t>
    <rPh sb="0" eb="1">
      <t>ト</t>
    </rPh>
    <rPh sb="3" eb="5">
      <t>ゲンザイ</t>
    </rPh>
    <rPh sb="6" eb="8">
      <t>ビョウイン</t>
    </rPh>
    <rPh sb="9" eb="11">
      <t>キンム</t>
    </rPh>
    <rPh sb="19" eb="21">
      <t>ケイイ</t>
    </rPh>
    <phoneticPr fontId="7"/>
  </si>
  <si>
    <t>大学からの派遣</t>
    <rPh sb="0" eb="2">
      <t>ダイガク</t>
    </rPh>
    <rPh sb="5" eb="7">
      <t>ハケン</t>
    </rPh>
    <phoneticPr fontId="7"/>
  </si>
  <si>
    <t>自分から応募</t>
    <rPh sb="0" eb="2">
      <t>ジブン</t>
    </rPh>
    <rPh sb="4" eb="6">
      <t>オウボ</t>
    </rPh>
    <phoneticPr fontId="7"/>
  </si>
  <si>
    <t>大学からの紹介</t>
    <rPh sb="0" eb="2">
      <t>ダイガク</t>
    </rPh>
    <rPh sb="5" eb="7">
      <t>ショウカイ</t>
    </rPh>
    <phoneticPr fontId="7"/>
  </si>
  <si>
    <t>医師の就業斡旋を行う
団体・業者等の紹介</t>
    <rPh sb="0" eb="2">
      <t>イシ</t>
    </rPh>
    <rPh sb="3" eb="5">
      <t>シュウギョウ</t>
    </rPh>
    <rPh sb="5" eb="7">
      <t>アッセン</t>
    </rPh>
    <rPh sb="8" eb="9">
      <t>オコナ</t>
    </rPh>
    <rPh sb="11" eb="13">
      <t>ダンタイ</t>
    </rPh>
    <rPh sb="14" eb="16">
      <t>ギョウシャ</t>
    </rPh>
    <rPh sb="16" eb="17">
      <t>トウ</t>
    </rPh>
    <rPh sb="18" eb="20">
      <t>ショウカイ</t>
    </rPh>
    <phoneticPr fontId="7"/>
  </si>
  <si>
    <t>その他</t>
    <rPh sb="2" eb="3">
      <t>タ</t>
    </rPh>
    <phoneticPr fontId="7"/>
  </si>
  <si>
    <t>ok</t>
  </si>
  <si>
    <t>問２　診療科の診療体制</t>
    <rPh sb="0" eb="1">
      <t>ト</t>
    </rPh>
    <rPh sb="3" eb="6">
      <t>シンリョウカ</t>
    </rPh>
    <rPh sb="7" eb="9">
      <t>シンリョウ</t>
    </rPh>
    <rPh sb="9" eb="11">
      <t>タイセイ</t>
    </rPh>
    <phoneticPr fontId="7"/>
  </si>
  <si>
    <t>一人（完全）
主治医制</t>
    <rPh sb="0" eb="2">
      <t>ヒトリ</t>
    </rPh>
    <rPh sb="3" eb="5">
      <t>カンゼン</t>
    </rPh>
    <rPh sb="7" eb="11">
      <t>シュジイセイ</t>
    </rPh>
    <phoneticPr fontId="7"/>
  </si>
  <si>
    <r>
      <rPr>
        <sz val="9"/>
        <color theme="1"/>
        <rFont val="HGｺﾞｼｯｸM"/>
        <family val="3"/>
        <charset val="128"/>
      </rPr>
      <t>複数（チーム）</t>
    </r>
    <r>
      <rPr>
        <sz val="11"/>
        <color theme="1"/>
        <rFont val="HGｺﾞｼｯｸM"/>
        <family val="3"/>
        <charset val="128"/>
      </rPr>
      <t xml:space="preserve">
主治医制</t>
    </r>
    <rPh sb="0" eb="2">
      <t>フクスウ</t>
    </rPh>
    <rPh sb="8" eb="12">
      <t>シュジイセイ</t>
    </rPh>
    <phoneticPr fontId="7"/>
  </si>
  <si>
    <t>問３　平均的な週実労働時間</t>
    <rPh sb="0" eb="1">
      <t>ト</t>
    </rPh>
    <phoneticPr fontId="7"/>
  </si>
  <si>
    <t>週40時間未満</t>
    <rPh sb="0" eb="1">
      <t>シュウ</t>
    </rPh>
    <rPh sb="3" eb="5">
      <t>ジカン</t>
    </rPh>
    <rPh sb="5" eb="7">
      <t>ミマン</t>
    </rPh>
    <phoneticPr fontId="7"/>
  </si>
  <si>
    <t>週40～60時間</t>
    <rPh sb="0" eb="1">
      <t>シュウ</t>
    </rPh>
    <rPh sb="6" eb="8">
      <t>ジカン</t>
    </rPh>
    <phoneticPr fontId="7"/>
  </si>
  <si>
    <t>週60～80時間</t>
    <rPh sb="0" eb="1">
      <t>シュウ</t>
    </rPh>
    <rPh sb="6" eb="8">
      <t>ジカン</t>
    </rPh>
    <phoneticPr fontId="7"/>
  </si>
  <si>
    <t>週80時間以上</t>
    <rPh sb="0" eb="1">
      <t>シュウ</t>
    </rPh>
    <rPh sb="3" eb="5">
      <t>ジカン</t>
    </rPh>
    <rPh sb="5" eb="7">
      <t>イジョウ</t>
    </rPh>
    <phoneticPr fontId="7"/>
  </si>
  <si>
    <t>問４　時間外労働の主な理由　（複数回答）</t>
    <rPh sb="0" eb="1">
      <t>ト</t>
    </rPh>
    <rPh sb="3" eb="6">
      <t>ジカンガイ</t>
    </rPh>
    <rPh sb="6" eb="8">
      <t>ロウドウ</t>
    </rPh>
    <rPh sb="9" eb="10">
      <t>オモ</t>
    </rPh>
    <rPh sb="11" eb="13">
      <t>リユウ</t>
    </rPh>
    <rPh sb="15" eb="17">
      <t>フクスウ</t>
    </rPh>
    <rPh sb="17" eb="19">
      <t>カイトウ</t>
    </rPh>
    <phoneticPr fontId="7"/>
  </si>
  <si>
    <t>緊急対応</t>
    <rPh sb="0" eb="2">
      <t>キンキュウ</t>
    </rPh>
    <rPh sb="2" eb="4">
      <t>タイオウ</t>
    </rPh>
    <phoneticPr fontId="7"/>
  </si>
  <si>
    <t>土日祝日の当番（回診）</t>
    <rPh sb="0" eb="2">
      <t>ドニチ</t>
    </rPh>
    <rPh sb="2" eb="4">
      <t>シュクジツ</t>
    </rPh>
    <rPh sb="5" eb="7">
      <t>トウバン</t>
    </rPh>
    <rPh sb="8" eb="10">
      <t>カイシン</t>
    </rPh>
    <phoneticPr fontId="7"/>
  </si>
  <si>
    <t>記録・報告書作成や
書類の整理</t>
    <rPh sb="0" eb="2">
      <t>キロク</t>
    </rPh>
    <rPh sb="3" eb="6">
      <t>ホウコクショ</t>
    </rPh>
    <rPh sb="6" eb="8">
      <t>サクセイ</t>
    </rPh>
    <rPh sb="10" eb="12">
      <t>ショルイ</t>
    </rPh>
    <rPh sb="13" eb="15">
      <t>セイリ</t>
    </rPh>
    <phoneticPr fontId="7"/>
  </si>
  <si>
    <t>手術や外来対応等の延長</t>
    <rPh sb="0" eb="2">
      <t>シュジュツ</t>
    </rPh>
    <rPh sb="3" eb="5">
      <t>ガイライ</t>
    </rPh>
    <rPh sb="5" eb="7">
      <t>タイオウ</t>
    </rPh>
    <rPh sb="7" eb="8">
      <t>トウ</t>
    </rPh>
    <rPh sb="9" eb="11">
      <t>エンチョウ</t>
    </rPh>
    <phoneticPr fontId="7"/>
  </si>
  <si>
    <t>勤務開始前の準備</t>
    <rPh sb="0" eb="2">
      <t>キンム</t>
    </rPh>
    <rPh sb="2" eb="5">
      <t>カイシマエ</t>
    </rPh>
    <rPh sb="6" eb="8">
      <t>ジュンビ</t>
    </rPh>
    <phoneticPr fontId="7"/>
  </si>
  <si>
    <t>他職種・他機関との
連絡調整</t>
    <rPh sb="0" eb="3">
      <t>タショクシュ</t>
    </rPh>
    <rPh sb="4" eb="7">
      <t>タキカン</t>
    </rPh>
    <rPh sb="10" eb="12">
      <t>レンラク</t>
    </rPh>
    <rPh sb="12" eb="14">
      <t>チョウセイ</t>
    </rPh>
    <phoneticPr fontId="7"/>
  </si>
  <si>
    <t>問５　現在勤務している医療機関の１ヵ月の宿日直、オンコール回数</t>
    <rPh sb="0" eb="1">
      <t>ト</t>
    </rPh>
    <rPh sb="3" eb="5">
      <t>ゲンザイ</t>
    </rPh>
    <rPh sb="5" eb="7">
      <t>キンム</t>
    </rPh>
    <rPh sb="11" eb="13">
      <t>イリョウ</t>
    </rPh>
    <rPh sb="13" eb="15">
      <t>キカン</t>
    </rPh>
    <rPh sb="18" eb="19">
      <t>ゲツ</t>
    </rPh>
    <rPh sb="20" eb="21">
      <t>シュク</t>
    </rPh>
    <rPh sb="21" eb="23">
      <t>ニッチョク</t>
    </rPh>
    <rPh sb="29" eb="31">
      <t>カイスウ</t>
    </rPh>
    <phoneticPr fontId="7"/>
  </si>
  <si>
    <t>宿日直回数（１ヵ月の回数）</t>
    <rPh sb="0" eb="1">
      <t>シュク</t>
    </rPh>
    <rPh sb="1" eb="3">
      <t>ニッチョク</t>
    </rPh>
    <rPh sb="3" eb="5">
      <t>カイスウ</t>
    </rPh>
    <rPh sb="8" eb="9">
      <t>ゲツ</t>
    </rPh>
    <rPh sb="10" eb="12">
      <t>カイスウ</t>
    </rPh>
    <phoneticPr fontId="1"/>
  </si>
  <si>
    <t>なし</t>
    <phoneticPr fontId="7"/>
  </si>
  <si>
    <t>１～４回</t>
    <rPh sb="3" eb="4">
      <t>カイ</t>
    </rPh>
    <phoneticPr fontId="7"/>
  </si>
  <si>
    <t>５～８回</t>
    <rPh sb="3" eb="4">
      <t>カイ</t>
    </rPh>
    <phoneticPr fontId="7"/>
  </si>
  <si>
    <t>９回以上</t>
    <rPh sb="1" eb="2">
      <t>カイ</t>
    </rPh>
    <rPh sb="2" eb="4">
      <t>イジョウ</t>
    </rPh>
    <phoneticPr fontId="7"/>
  </si>
  <si>
    <t>オンコール回数（１ヵ月の回数）</t>
    <rPh sb="5" eb="7">
      <t>カイスウ</t>
    </rPh>
    <rPh sb="10" eb="11">
      <t>ゲツ</t>
    </rPh>
    <rPh sb="12" eb="14">
      <t>カイスウ</t>
    </rPh>
    <phoneticPr fontId="1"/>
  </si>
  <si>
    <t>９～12回</t>
    <rPh sb="4" eb="5">
      <t>カイ</t>
    </rPh>
    <phoneticPr fontId="7"/>
  </si>
  <si>
    <t>13～16回</t>
    <rPh sb="5" eb="6">
      <t>カイ</t>
    </rPh>
    <phoneticPr fontId="7"/>
  </si>
  <si>
    <t>17～20回</t>
    <rPh sb="5" eb="6">
      <t>カイ</t>
    </rPh>
    <phoneticPr fontId="7"/>
  </si>
  <si>
    <t>ほぼ毎日</t>
    <rPh sb="2" eb="4">
      <t>マイニチ</t>
    </rPh>
    <phoneticPr fontId="7"/>
  </si>
  <si>
    <t>問６　宿直明けの勤務形態</t>
    <rPh sb="0" eb="1">
      <t>ト</t>
    </rPh>
    <rPh sb="3" eb="5">
      <t>シュクチョク</t>
    </rPh>
    <rPh sb="5" eb="6">
      <t>ア</t>
    </rPh>
    <rPh sb="8" eb="10">
      <t>キンム</t>
    </rPh>
    <rPh sb="10" eb="12">
      <t>ケイタイ</t>
    </rPh>
    <phoneticPr fontId="7"/>
  </si>
  <si>
    <t>通常業務で、業務内容の軽減はない</t>
    <rPh sb="0" eb="2">
      <t>ツウジョウ</t>
    </rPh>
    <rPh sb="2" eb="4">
      <t>ギョウム</t>
    </rPh>
    <rPh sb="6" eb="8">
      <t>ギョウム</t>
    </rPh>
    <rPh sb="8" eb="10">
      <t>ナイヨウ</t>
    </rPh>
    <rPh sb="11" eb="13">
      <t>ケイゲン</t>
    </rPh>
    <phoneticPr fontId="7"/>
  </si>
  <si>
    <t>通常業務であるが、業務内容は軽減される</t>
    <rPh sb="0" eb="2">
      <t>ツウジョウ</t>
    </rPh>
    <rPh sb="2" eb="4">
      <t>ギョウム</t>
    </rPh>
    <rPh sb="9" eb="11">
      <t>ギョウム</t>
    </rPh>
    <rPh sb="11" eb="13">
      <t>ナイヨウ</t>
    </rPh>
    <rPh sb="14" eb="16">
      <t>ケイゲン</t>
    </rPh>
    <phoneticPr fontId="7"/>
  </si>
  <si>
    <t>短時間勤務で、業務内容の軽減はない</t>
    <rPh sb="0" eb="3">
      <t>タンジカン</t>
    </rPh>
    <rPh sb="3" eb="5">
      <t>キンム</t>
    </rPh>
    <rPh sb="7" eb="9">
      <t>ギョウム</t>
    </rPh>
    <rPh sb="9" eb="11">
      <t>ナイヨウ</t>
    </rPh>
    <rPh sb="12" eb="14">
      <t>ケイゲン</t>
    </rPh>
    <phoneticPr fontId="7"/>
  </si>
  <si>
    <t>短時間勤務で、業務内容も軽減される</t>
    <rPh sb="0" eb="3">
      <t>タンジカン</t>
    </rPh>
    <rPh sb="3" eb="5">
      <t>キンム</t>
    </rPh>
    <rPh sb="7" eb="9">
      <t>ギョウム</t>
    </rPh>
    <rPh sb="9" eb="11">
      <t>ナイヨウ</t>
    </rPh>
    <rPh sb="12" eb="14">
      <t>ケイゲン</t>
    </rPh>
    <phoneticPr fontId="7"/>
  </si>
  <si>
    <t>日によって異なる</t>
    <rPh sb="0" eb="1">
      <t>ヒ</t>
    </rPh>
    <rPh sb="5" eb="6">
      <t>コト</t>
    </rPh>
    <phoneticPr fontId="7"/>
  </si>
  <si>
    <t>わからない</t>
    <phoneticPr fontId="7"/>
  </si>
  <si>
    <t>問７　職場からの呼び出し等がない完全な休日は月に何日か</t>
    <rPh sb="0" eb="1">
      <t>ト</t>
    </rPh>
    <rPh sb="3" eb="5">
      <t>ショクバ</t>
    </rPh>
    <rPh sb="8" eb="9">
      <t>ヨ</t>
    </rPh>
    <rPh sb="10" eb="11">
      <t>ダ</t>
    </rPh>
    <rPh sb="12" eb="13">
      <t>トウ</t>
    </rPh>
    <rPh sb="16" eb="18">
      <t>カンゼン</t>
    </rPh>
    <rPh sb="19" eb="21">
      <t>キュウジツ</t>
    </rPh>
    <rPh sb="22" eb="23">
      <t>ツキ</t>
    </rPh>
    <rPh sb="24" eb="26">
      <t>ナンニチ</t>
    </rPh>
    <phoneticPr fontId="7"/>
  </si>
  <si>
    <t>１～３回</t>
    <rPh sb="3" eb="4">
      <t>カイ</t>
    </rPh>
    <phoneticPr fontId="7"/>
  </si>
  <si>
    <t>４～７回</t>
    <rPh sb="3" eb="4">
      <t>カイ</t>
    </rPh>
    <phoneticPr fontId="7"/>
  </si>
  <si>
    <t>７～10回</t>
    <rPh sb="4" eb="5">
      <t>カイ</t>
    </rPh>
    <phoneticPr fontId="7"/>
  </si>
  <si>
    <t>11回以上</t>
    <rPh sb="2" eb="3">
      <t>カイ</t>
    </rPh>
    <rPh sb="3" eb="5">
      <t>イジョウ</t>
    </rPh>
    <phoneticPr fontId="7"/>
  </si>
  <si>
    <t>問８　現在の勤務環境にどれぐらい満足しているか</t>
    <rPh sb="0" eb="1">
      <t>ト</t>
    </rPh>
    <rPh sb="3" eb="5">
      <t>ゲンザイ</t>
    </rPh>
    <rPh sb="6" eb="8">
      <t>キンム</t>
    </rPh>
    <rPh sb="8" eb="10">
      <t>カンキョウ</t>
    </rPh>
    <rPh sb="16" eb="18">
      <t>マンゾク</t>
    </rPh>
    <phoneticPr fontId="7"/>
  </si>
  <si>
    <t>満足</t>
    <rPh sb="0" eb="2">
      <t>マンゾク</t>
    </rPh>
    <phoneticPr fontId="7"/>
  </si>
  <si>
    <t>どちらかと
いうと満足</t>
    <rPh sb="9" eb="11">
      <t>マンゾク</t>
    </rPh>
    <phoneticPr fontId="7"/>
  </si>
  <si>
    <t>どちらかと
いうと不満</t>
    <rPh sb="9" eb="11">
      <t>フマン</t>
    </rPh>
    <phoneticPr fontId="7"/>
  </si>
  <si>
    <t>不満</t>
    <rPh sb="0" eb="2">
      <t>フマン</t>
    </rPh>
    <phoneticPr fontId="7"/>
  </si>
  <si>
    <t>問９　現在の勤務環境について、各項目ごとの満足度</t>
    <rPh sb="0" eb="1">
      <t>ト</t>
    </rPh>
    <rPh sb="3" eb="5">
      <t>ゲンザイ</t>
    </rPh>
    <rPh sb="6" eb="8">
      <t>キンム</t>
    </rPh>
    <rPh sb="8" eb="10">
      <t>カンキョウ</t>
    </rPh>
    <rPh sb="15" eb="18">
      <t>カクコウモク</t>
    </rPh>
    <rPh sb="21" eb="24">
      <t>マンゾクド</t>
    </rPh>
    <phoneticPr fontId="7"/>
  </si>
  <si>
    <t>１　業務量全般について</t>
    <rPh sb="2" eb="5">
      <t>ギョウムリョウ</t>
    </rPh>
    <rPh sb="5" eb="7">
      <t>ゼンパン</t>
    </rPh>
    <phoneticPr fontId="1"/>
  </si>
  <si>
    <t>　１－①　平日の業務（時間外含む）</t>
    <rPh sb="5" eb="7">
      <t>ヘイジツ</t>
    </rPh>
    <rPh sb="8" eb="10">
      <t>ギョウム</t>
    </rPh>
    <rPh sb="11" eb="14">
      <t>ジカンガイ</t>
    </rPh>
    <rPh sb="14" eb="15">
      <t>フク</t>
    </rPh>
    <phoneticPr fontId="1"/>
  </si>
  <si>
    <t>　１－②　当直、夜勤、オンコール等</t>
    <rPh sb="5" eb="7">
      <t>トウチョク</t>
    </rPh>
    <rPh sb="8" eb="10">
      <t>ヤキン</t>
    </rPh>
    <rPh sb="16" eb="17">
      <t>トウ</t>
    </rPh>
    <phoneticPr fontId="1"/>
  </si>
  <si>
    <t>　１－③　休暇、休日等</t>
    <rPh sb="5" eb="7">
      <t>キュウカ</t>
    </rPh>
    <rPh sb="8" eb="10">
      <t>キュウジツ</t>
    </rPh>
    <rPh sb="10" eb="11">
      <t>トウ</t>
    </rPh>
    <phoneticPr fontId="1"/>
  </si>
  <si>
    <t>２　仕事のやりがい（仕事内容、症例数等）</t>
    <rPh sb="2" eb="4">
      <t>シゴト</t>
    </rPh>
    <rPh sb="10" eb="12">
      <t>シゴト</t>
    </rPh>
    <rPh sb="12" eb="14">
      <t>ナイヨウ</t>
    </rPh>
    <rPh sb="15" eb="18">
      <t>ショウレイスウ</t>
    </rPh>
    <rPh sb="18" eb="19">
      <t>トウ</t>
    </rPh>
    <phoneticPr fontId="1"/>
  </si>
  <si>
    <t>３　職場の雰囲気（人間関係等）</t>
    <rPh sb="2" eb="4">
      <t>ショクバ</t>
    </rPh>
    <rPh sb="5" eb="8">
      <t>フンイキ</t>
    </rPh>
    <rPh sb="9" eb="11">
      <t>ニンゲン</t>
    </rPh>
    <rPh sb="11" eb="13">
      <t>カンケイ</t>
    </rPh>
    <rPh sb="13" eb="14">
      <t>トウ</t>
    </rPh>
    <phoneticPr fontId="1"/>
  </si>
  <si>
    <t>４　給与等（給与・手当等）</t>
    <rPh sb="2" eb="4">
      <t>キュウヨ</t>
    </rPh>
    <rPh sb="4" eb="5">
      <t>トウ</t>
    </rPh>
    <rPh sb="6" eb="8">
      <t>キュウヨ</t>
    </rPh>
    <rPh sb="9" eb="11">
      <t>テアテ</t>
    </rPh>
    <rPh sb="11" eb="12">
      <t>トウ</t>
    </rPh>
    <phoneticPr fontId="1"/>
  </si>
  <si>
    <t>問10　問８の回答に最も影響を与えた項目</t>
    <rPh sb="0" eb="1">
      <t>ト</t>
    </rPh>
    <rPh sb="4" eb="5">
      <t>ト</t>
    </rPh>
    <rPh sb="7" eb="9">
      <t>カイトウ</t>
    </rPh>
    <rPh sb="10" eb="11">
      <t>モット</t>
    </rPh>
    <rPh sb="12" eb="14">
      <t>エイキョウ</t>
    </rPh>
    <rPh sb="15" eb="16">
      <t>アタ</t>
    </rPh>
    <rPh sb="18" eb="20">
      <t>コウモク</t>
    </rPh>
    <phoneticPr fontId="7"/>
  </si>
  <si>
    <t>満足・どちらかというと満足の理由</t>
    <rPh sb="0" eb="2">
      <t>マンゾク</t>
    </rPh>
    <rPh sb="11" eb="13">
      <t>マンゾク</t>
    </rPh>
    <rPh sb="14" eb="16">
      <t>リユウ</t>
    </rPh>
    <phoneticPr fontId="1"/>
  </si>
  <si>
    <t>不満・どちらかというと不満の理由</t>
    <rPh sb="0" eb="2">
      <t>フマン</t>
    </rPh>
    <rPh sb="11" eb="13">
      <t>フマン</t>
    </rPh>
    <rPh sb="14" eb="16">
      <t>リユウ</t>
    </rPh>
    <phoneticPr fontId="1"/>
  </si>
  <si>
    <t>業務量全般</t>
    <rPh sb="0" eb="3">
      <t>ギョウムリョウ</t>
    </rPh>
    <rPh sb="3" eb="5">
      <t>ゼンパン</t>
    </rPh>
    <phoneticPr fontId="7"/>
  </si>
  <si>
    <r>
      <rPr>
        <sz val="9"/>
        <color theme="1"/>
        <rFont val="HGｺﾞｼｯｸM"/>
        <family val="3"/>
        <charset val="128"/>
      </rPr>
      <t xml:space="preserve">仕事のやりがい
</t>
    </r>
    <r>
      <rPr>
        <sz val="7"/>
        <color theme="1"/>
        <rFont val="HGｺﾞｼｯｸM"/>
        <family val="3"/>
        <charset val="128"/>
      </rPr>
      <t>（内容・症例数等）</t>
    </r>
    <rPh sb="0" eb="2">
      <t>シゴト</t>
    </rPh>
    <rPh sb="9" eb="11">
      <t>ナイヨウ</t>
    </rPh>
    <rPh sb="12" eb="15">
      <t>ショウレイスウ</t>
    </rPh>
    <rPh sb="15" eb="16">
      <t>トウ</t>
    </rPh>
    <phoneticPr fontId="7"/>
  </si>
  <si>
    <t>職場の雰囲気
（人間関係）</t>
    <rPh sb="0" eb="2">
      <t>ショクバ</t>
    </rPh>
    <rPh sb="3" eb="6">
      <t>フンイキ</t>
    </rPh>
    <rPh sb="8" eb="10">
      <t>ニンゲン</t>
    </rPh>
    <rPh sb="10" eb="12">
      <t>カンケイ</t>
    </rPh>
    <phoneticPr fontId="7"/>
  </si>
  <si>
    <r>
      <t xml:space="preserve">給与等
</t>
    </r>
    <r>
      <rPr>
        <sz val="8"/>
        <color theme="1"/>
        <rFont val="HGｺﾞｼｯｸM"/>
        <family val="3"/>
        <charset val="128"/>
      </rPr>
      <t>（給与・手当等）</t>
    </r>
    <rPh sb="0" eb="2">
      <t>キュウヨ</t>
    </rPh>
    <rPh sb="2" eb="3">
      <t>トウ</t>
    </rPh>
    <rPh sb="5" eb="7">
      <t>キュウヨ</t>
    </rPh>
    <rPh sb="8" eb="10">
      <t>テアテ</t>
    </rPh>
    <rPh sb="10" eb="11">
      <t>トウ</t>
    </rPh>
    <phoneticPr fontId="1"/>
  </si>
  <si>
    <t>■　地域勤務に対する考え方について</t>
    <rPh sb="2" eb="4">
      <t>チイキ</t>
    </rPh>
    <rPh sb="4" eb="6">
      <t>キンム</t>
    </rPh>
    <rPh sb="7" eb="8">
      <t>タイ</t>
    </rPh>
    <rPh sb="10" eb="11">
      <t>カンガ</t>
    </rPh>
    <rPh sb="12" eb="13">
      <t>カタ</t>
    </rPh>
    <phoneticPr fontId="1"/>
  </si>
  <si>
    <t>問11　札幌・旭川以外の地域で勤務する意志はありますか</t>
    <rPh sb="0" eb="1">
      <t>ト</t>
    </rPh>
    <rPh sb="4" eb="6">
      <t>サッポロ</t>
    </rPh>
    <rPh sb="7" eb="9">
      <t>アサヒカワ</t>
    </rPh>
    <rPh sb="9" eb="11">
      <t>イガイ</t>
    </rPh>
    <rPh sb="12" eb="14">
      <t>チイキ</t>
    </rPh>
    <rPh sb="15" eb="17">
      <t>キンム</t>
    </rPh>
    <rPh sb="19" eb="21">
      <t>イシ</t>
    </rPh>
    <phoneticPr fontId="7"/>
  </si>
  <si>
    <t>はい</t>
  </si>
  <si>
    <t>いいえ</t>
  </si>
  <si>
    <t>問12　「地域勤務をする意志はない」と回答した方は、その理由は何ですか</t>
    <rPh sb="0" eb="1">
      <t>ト</t>
    </rPh>
    <rPh sb="5" eb="7">
      <t>チイキ</t>
    </rPh>
    <rPh sb="7" eb="9">
      <t>キンム</t>
    </rPh>
    <rPh sb="12" eb="14">
      <t>イシ</t>
    </rPh>
    <rPh sb="19" eb="21">
      <t>カイトウ</t>
    </rPh>
    <rPh sb="23" eb="24">
      <t>カタ</t>
    </rPh>
    <rPh sb="28" eb="30">
      <t>リユウ</t>
    </rPh>
    <rPh sb="31" eb="32">
      <t>ナニ</t>
    </rPh>
    <phoneticPr fontId="7"/>
  </si>
  <si>
    <t>希望する内容の仕事ができないため</t>
    <rPh sb="0" eb="2">
      <t>キボウ</t>
    </rPh>
    <rPh sb="4" eb="6">
      <t>ナイヨウ</t>
    </rPh>
    <rPh sb="7" eb="9">
      <t>シゴト</t>
    </rPh>
    <phoneticPr fontId="7"/>
  </si>
  <si>
    <t>労働環境に不安があるため</t>
    <rPh sb="0" eb="2">
      <t>ロウドウ</t>
    </rPh>
    <rPh sb="2" eb="4">
      <t>カンキョウ</t>
    </rPh>
    <rPh sb="5" eb="7">
      <t>フアン</t>
    </rPh>
    <phoneticPr fontId="7"/>
  </si>
  <si>
    <t>家族の理解が得られないため</t>
    <rPh sb="0" eb="2">
      <t>カゾク</t>
    </rPh>
    <rPh sb="3" eb="5">
      <t>リカイ</t>
    </rPh>
    <rPh sb="6" eb="7">
      <t>エ</t>
    </rPh>
    <phoneticPr fontId="7"/>
  </si>
  <si>
    <t>子どもの教育環境が整っていないため</t>
    <rPh sb="0" eb="1">
      <t>コ</t>
    </rPh>
    <rPh sb="4" eb="6">
      <t>キョウイク</t>
    </rPh>
    <rPh sb="6" eb="8">
      <t>カンキョウ</t>
    </rPh>
    <rPh sb="9" eb="10">
      <t>トトノ</t>
    </rPh>
    <phoneticPr fontId="1"/>
  </si>
  <si>
    <t>元の勤務地／希望する勤務地に行ける保証がないため</t>
    <rPh sb="0" eb="1">
      <t>モト</t>
    </rPh>
    <rPh sb="2" eb="5">
      <t>キンムチ</t>
    </rPh>
    <rPh sb="6" eb="8">
      <t>キボウ</t>
    </rPh>
    <rPh sb="10" eb="13">
      <t>キンムチ</t>
    </rPh>
    <rPh sb="14" eb="15">
      <t>イ</t>
    </rPh>
    <rPh sb="17" eb="19">
      <t>ホショウ</t>
    </rPh>
    <phoneticPr fontId="1"/>
  </si>
  <si>
    <t>両親等親族の介護のため</t>
    <rPh sb="0" eb="2">
      <t>リョウシン</t>
    </rPh>
    <rPh sb="2" eb="3">
      <t>トウ</t>
    </rPh>
    <rPh sb="3" eb="5">
      <t>シンゾク</t>
    </rPh>
    <rPh sb="6" eb="8">
      <t>カイゴ</t>
    </rPh>
    <phoneticPr fontId="7"/>
  </si>
  <si>
    <t>専門医等の資格取得に影響するため</t>
    <rPh sb="0" eb="2">
      <t>センモン</t>
    </rPh>
    <rPh sb="2" eb="3">
      <t>イ</t>
    </rPh>
    <rPh sb="3" eb="4">
      <t>トウ</t>
    </rPh>
    <rPh sb="5" eb="7">
      <t>シカク</t>
    </rPh>
    <rPh sb="7" eb="9">
      <t>シュトク</t>
    </rPh>
    <rPh sb="10" eb="12">
      <t>エイキョウ</t>
    </rPh>
    <phoneticPr fontId="7"/>
  </si>
  <si>
    <t>経済的理由（収入・待遇)のため</t>
    <rPh sb="0" eb="3">
      <t>ケイザイテキ</t>
    </rPh>
    <rPh sb="3" eb="5">
      <t>リユウ</t>
    </rPh>
    <rPh sb="6" eb="8">
      <t>シュウニュウ</t>
    </rPh>
    <rPh sb="9" eb="11">
      <t>タイグウ</t>
    </rPh>
    <phoneticPr fontId="7"/>
  </si>
  <si>
    <t>問13　「地域で勤務する意志はある」と回答された方は、何年勤務する意志がありますか</t>
    <rPh sb="0" eb="1">
      <t>ト</t>
    </rPh>
    <rPh sb="5" eb="7">
      <t>チイキ</t>
    </rPh>
    <rPh sb="8" eb="10">
      <t>キンム</t>
    </rPh>
    <rPh sb="12" eb="14">
      <t>イシ</t>
    </rPh>
    <rPh sb="19" eb="21">
      <t>カイトウ</t>
    </rPh>
    <rPh sb="24" eb="25">
      <t>カタ</t>
    </rPh>
    <rPh sb="27" eb="29">
      <t>ナンネン</t>
    </rPh>
    <rPh sb="29" eb="31">
      <t>キンム</t>
    </rPh>
    <rPh sb="33" eb="35">
      <t>イシ</t>
    </rPh>
    <phoneticPr fontId="7"/>
  </si>
  <si>
    <t>半年</t>
    <rPh sb="0" eb="2">
      <t>ハントシ</t>
    </rPh>
    <phoneticPr fontId="7"/>
  </si>
  <si>
    <t>１０年以上</t>
    <rPh sb="2" eb="3">
      <t>ネン</t>
    </rPh>
    <rPh sb="3" eb="5">
      <t>イジョウ</t>
    </rPh>
    <phoneticPr fontId="7"/>
  </si>
  <si>
    <t>問14　札幌・旭川以外の医療機関に勤務する場合、どのような条件が必要ですか</t>
    <rPh sb="0" eb="1">
      <t>ト</t>
    </rPh>
    <rPh sb="4" eb="6">
      <t>サッポロ</t>
    </rPh>
    <rPh sb="7" eb="9">
      <t>アサヒカワ</t>
    </rPh>
    <rPh sb="9" eb="11">
      <t>イガイ</t>
    </rPh>
    <rPh sb="12" eb="14">
      <t>イリョウ</t>
    </rPh>
    <rPh sb="14" eb="16">
      <t>キカン</t>
    </rPh>
    <rPh sb="17" eb="19">
      <t>キンム</t>
    </rPh>
    <rPh sb="21" eb="23">
      <t>バアイ</t>
    </rPh>
    <rPh sb="29" eb="31">
      <t>ジョウケン</t>
    </rPh>
    <rPh sb="32" eb="34">
      <t>ヒツヨウ</t>
    </rPh>
    <phoneticPr fontId="7"/>
  </si>
  <si>
    <t>①　家族に関すること</t>
    <rPh sb="2" eb="4">
      <t>カゾク</t>
    </rPh>
    <rPh sb="5" eb="6">
      <t>カン</t>
    </rPh>
    <phoneticPr fontId="1"/>
  </si>
  <si>
    <t>家族の同意がある</t>
    <rPh sb="0" eb="2">
      <t>カゾク</t>
    </rPh>
    <rPh sb="3" eb="5">
      <t>ドウイ</t>
    </rPh>
    <phoneticPr fontId="7"/>
  </si>
  <si>
    <t>単身赴任者への配慮が充実している（休日・帰省費用等）</t>
    <rPh sb="0" eb="2">
      <t>タンシン</t>
    </rPh>
    <rPh sb="2" eb="5">
      <t>フニンシャ</t>
    </rPh>
    <rPh sb="7" eb="9">
      <t>ハイリョ</t>
    </rPh>
    <rPh sb="10" eb="12">
      <t>ジュウジツ</t>
    </rPh>
    <rPh sb="17" eb="19">
      <t>キュウジツ</t>
    </rPh>
    <rPh sb="20" eb="22">
      <t>キセイ</t>
    </rPh>
    <rPh sb="22" eb="24">
      <t>ヒヨウ</t>
    </rPh>
    <rPh sb="24" eb="25">
      <t>トウ</t>
    </rPh>
    <phoneticPr fontId="7"/>
  </si>
  <si>
    <t>子どもの教育環境が整備されている</t>
    <rPh sb="0" eb="1">
      <t>コ</t>
    </rPh>
    <rPh sb="4" eb="6">
      <t>キョウイク</t>
    </rPh>
    <rPh sb="6" eb="8">
      <t>カンキョウ</t>
    </rPh>
    <rPh sb="9" eb="11">
      <t>セイビ</t>
    </rPh>
    <phoneticPr fontId="1"/>
  </si>
  <si>
    <t>現在の生活圏から交通の便が良く距離が近い</t>
    <rPh sb="0" eb="2">
      <t>ゲンザイ</t>
    </rPh>
    <rPh sb="3" eb="6">
      <t>セイカツケン</t>
    </rPh>
    <rPh sb="8" eb="10">
      <t>コウツウ</t>
    </rPh>
    <rPh sb="11" eb="12">
      <t>ベン</t>
    </rPh>
    <rPh sb="13" eb="14">
      <t>ヨ</t>
    </rPh>
    <rPh sb="15" eb="17">
      <t>キョリ</t>
    </rPh>
    <rPh sb="18" eb="19">
      <t>チカ</t>
    </rPh>
    <phoneticPr fontId="7"/>
  </si>
  <si>
    <t>商業・娯楽施設が充実している</t>
    <phoneticPr fontId="7"/>
  </si>
  <si>
    <t>配偶者の居住地・勤務地である</t>
    <phoneticPr fontId="1"/>
  </si>
  <si>
    <t>特になし</t>
    <rPh sb="0" eb="1">
      <t>トク</t>
    </rPh>
    <phoneticPr fontId="7"/>
  </si>
  <si>
    <t>出身地である</t>
    <rPh sb="0" eb="3">
      <t>シュッシンチ</t>
    </rPh>
    <phoneticPr fontId="7"/>
  </si>
  <si>
    <t>単身赴任者への
配慮が充実している
（休日・帰省費用等）</t>
    <rPh sb="0" eb="2">
      <t>タンシン</t>
    </rPh>
    <rPh sb="2" eb="5">
      <t>フニンシャ</t>
    </rPh>
    <rPh sb="8" eb="10">
      <t>ハイリョ</t>
    </rPh>
    <rPh sb="11" eb="13">
      <t>ジュウジツ</t>
    </rPh>
    <rPh sb="19" eb="21">
      <t>キュウジツ</t>
    </rPh>
    <rPh sb="22" eb="24">
      <t>キセイ</t>
    </rPh>
    <rPh sb="24" eb="26">
      <t>ヒヨウ</t>
    </rPh>
    <rPh sb="26" eb="27">
      <t>トウ</t>
    </rPh>
    <phoneticPr fontId="7"/>
  </si>
  <si>
    <t>現在の生活圏から
交通の便が良く
距離が近い</t>
    <rPh sb="0" eb="2">
      <t>ゲンザイ</t>
    </rPh>
    <rPh sb="3" eb="6">
      <t>セイカツケン</t>
    </rPh>
    <rPh sb="9" eb="11">
      <t>コウツウ</t>
    </rPh>
    <rPh sb="12" eb="13">
      <t>ベン</t>
    </rPh>
    <rPh sb="14" eb="15">
      <t>ヨ</t>
    </rPh>
    <rPh sb="17" eb="19">
      <t>キョリ</t>
    </rPh>
    <rPh sb="20" eb="21">
      <t>チカ</t>
    </rPh>
    <phoneticPr fontId="7"/>
  </si>
  <si>
    <t>商業・娯楽施設が
充実している</t>
    <phoneticPr fontId="1"/>
  </si>
  <si>
    <t>配偶者の居住地・
勤務地である</t>
    <phoneticPr fontId="1"/>
  </si>
  <si>
    <t>②　医療機関等に関すること</t>
    <rPh sb="2" eb="4">
      <t>イリョウ</t>
    </rPh>
    <rPh sb="4" eb="6">
      <t>キカン</t>
    </rPh>
    <rPh sb="6" eb="7">
      <t>トウ</t>
    </rPh>
    <rPh sb="8" eb="9">
      <t>カン</t>
    </rPh>
    <phoneticPr fontId="1"/>
  </si>
  <si>
    <t>自分と交代できる医師がいる</t>
    <rPh sb="0" eb="2">
      <t>ジブン</t>
    </rPh>
    <rPh sb="3" eb="5">
      <t>コウタイ</t>
    </rPh>
    <rPh sb="8" eb="10">
      <t>イシ</t>
    </rPh>
    <phoneticPr fontId="7"/>
  </si>
  <si>
    <t>病院の施設・設備が整っている</t>
    <rPh sb="0" eb="2">
      <t>ビョウイン</t>
    </rPh>
    <rPh sb="3" eb="5">
      <t>シセツ</t>
    </rPh>
    <rPh sb="6" eb="8">
      <t>セツビ</t>
    </rPh>
    <rPh sb="9" eb="10">
      <t>トトノ</t>
    </rPh>
    <phoneticPr fontId="7"/>
  </si>
  <si>
    <t>他病院とのネットワーク・連携がある</t>
    <rPh sb="0" eb="3">
      <t>タビョウイン</t>
    </rPh>
    <rPh sb="12" eb="14">
      <t>レンケイ</t>
    </rPh>
    <phoneticPr fontId="1"/>
  </si>
  <si>
    <t>地域の中核病院である</t>
    <rPh sb="0" eb="2">
      <t>チイキ</t>
    </rPh>
    <rPh sb="3" eb="5">
      <t>チュウカク</t>
    </rPh>
    <rPh sb="5" eb="7">
      <t>ビョウイン</t>
    </rPh>
    <phoneticPr fontId="7"/>
  </si>
  <si>
    <t>入院のない小規模の診療所である</t>
    <rPh sb="0" eb="2">
      <t>ニュウイン</t>
    </rPh>
    <rPh sb="5" eb="8">
      <t>ショウキボ</t>
    </rPh>
    <rPh sb="9" eb="12">
      <t>シンリョウジョ</t>
    </rPh>
    <phoneticPr fontId="1"/>
  </si>
  <si>
    <t>入院のない小規模の
診療所である</t>
    <rPh sb="0" eb="2">
      <t>ニュウイン</t>
    </rPh>
    <rPh sb="5" eb="8">
      <t>ショウキボ</t>
    </rPh>
    <rPh sb="10" eb="13">
      <t>シンリョウジョ</t>
    </rPh>
    <phoneticPr fontId="1"/>
  </si>
  <si>
    <t>③　勤務環境・条件等に関すること</t>
    <rPh sb="2" eb="4">
      <t>キンム</t>
    </rPh>
    <rPh sb="4" eb="6">
      <t>カンキョウ</t>
    </rPh>
    <rPh sb="7" eb="9">
      <t>ジョウケン</t>
    </rPh>
    <rPh sb="9" eb="10">
      <t>トウ</t>
    </rPh>
    <rPh sb="11" eb="12">
      <t>カン</t>
    </rPh>
    <phoneticPr fontId="1"/>
  </si>
  <si>
    <t>給与や手当が良い</t>
    <rPh sb="0" eb="2">
      <t>キュウヨ</t>
    </rPh>
    <rPh sb="3" eb="5">
      <t>テアテ</t>
    </rPh>
    <rPh sb="6" eb="7">
      <t>ヨ</t>
    </rPh>
    <phoneticPr fontId="7"/>
  </si>
  <si>
    <t>医師の勤務環境改善に取り組まれている</t>
    <rPh sb="0" eb="2">
      <t>イシ</t>
    </rPh>
    <rPh sb="3" eb="5">
      <t>キンム</t>
    </rPh>
    <rPh sb="5" eb="7">
      <t>カンキョウ</t>
    </rPh>
    <rPh sb="7" eb="9">
      <t>カイゼン</t>
    </rPh>
    <rPh sb="10" eb="11">
      <t>ト</t>
    </rPh>
    <rPh sb="12" eb="13">
      <t>ク</t>
    </rPh>
    <phoneticPr fontId="7"/>
  </si>
  <si>
    <t>医師の勤務環境に対して地域の理解がある</t>
    <rPh sb="0" eb="2">
      <t>イシ</t>
    </rPh>
    <rPh sb="3" eb="5">
      <t>キンム</t>
    </rPh>
    <rPh sb="5" eb="7">
      <t>カンキョウ</t>
    </rPh>
    <rPh sb="8" eb="9">
      <t>タイ</t>
    </rPh>
    <rPh sb="11" eb="13">
      <t>チイキ</t>
    </rPh>
    <rPh sb="14" eb="16">
      <t>リカイ</t>
    </rPh>
    <phoneticPr fontId="1"/>
  </si>
  <si>
    <t>居住環境が整備されている</t>
    <rPh sb="0" eb="2">
      <t>キョジュウ</t>
    </rPh>
    <rPh sb="2" eb="4">
      <t>カンキョウ</t>
    </rPh>
    <rPh sb="5" eb="7">
      <t>セイビ</t>
    </rPh>
    <phoneticPr fontId="1"/>
  </si>
  <si>
    <t>一定の期間である</t>
    <rPh sb="0" eb="2">
      <t>イッテイ</t>
    </rPh>
    <rPh sb="3" eb="5">
      <t>キカン</t>
    </rPh>
    <phoneticPr fontId="7"/>
  </si>
  <si>
    <t>定年退職後である</t>
    <rPh sb="0" eb="2">
      <t>テイネン</t>
    </rPh>
    <rPh sb="2" eb="5">
      <t>タイショクゴ</t>
    </rPh>
    <phoneticPr fontId="1"/>
  </si>
  <si>
    <t>専門医取得後である</t>
    <rPh sb="0" eb="3">
      <t>センモンイ</t>
    </rPh>
    <rPh sb="3" eb="6">
      <t>シュトクゴ</t>
    </rPh>
    <phoneticPr fontId="7"/>
  </si>
  <si>
    <t>医師の勤務環境改善に
取り組まれている</t>
    <rPh sb="0" eb="2">
      <t>イシ</t>
    </rPh>
    <rPh sb="3" eb="5">
      <t>キンム</t>
    </rPh>
    <rPh sb="5" eb="7">
      <t>カンキョウ</t>
    </rPh>
    <rPh sb="7" eb="9">
      <t>カイゼン</t>
    </rPh>
    <rPh sb="11" eb="12">
      <t>ト</t>
    </rPh>
    <rPh sb="13" eb="14">
      <t>ク</t>
    </rPh>
    <phoneticPr fontId="7"/>
  </si>
  <si>
    <t>医師の勤務環境に対し
て地域の理解がある</t>
    <rPh sb="0" eb="2">
      <t>イシ</t>
    </rPh>
    <rPh sb="3" eb="5">
      <t>キンム</t>
    </rPh>
    <rPh sb="5" eb="7">
      <t>カンキョウ</t>
    </rPh>
    <rPh sb="8" eb="9">
      <t>タイ</t>
    </rPh>
    <rPh sb="12" eb="14">
      <t>チイキ</t>
    </rPh>
    <rPh sb="15" eb="17">
      <t>リカイ</t>
    </rPh>
    <phoneticPr fontId="1"/>
  </si>
  <si>
    <t>居住環境が整備
されている</t>
    <rPh sb="0" eb="2">
      <t>キョジュウ</t>
    </rPh>
    <rPh sb="2" eb="4">
      <t>カンキョウ</t>
    </rPh>
    <rPh sb="5" eb="7">
      <t>セイビ</t>
    </rPh>
    <phoneticPr fontId="1"/>
  </si>
  <si>
    <t>④　その他の意見</t>
    <rPh sb="4" eb="5">
      <t>タ</t>
    </rPh>
    <rPh sb="6" eb="8">
      <t>イケン</t>
    </rPh>
    <phoneticPr fontId="1"/>
  </si>
  <si>
    <t>出身地の地域医療に貢献したい/医師としての働きがい/地域に行っても都会の病院での研修や診療応援など相互に関係性が保たれていること</t>
    <phoneticPr fontId="1"/>
  </si>
  <si>
    <t>札幌市から近いこと/外来診療のみであること/自分の私生活を大切にできるなら、医師として社会貢献したい</t>
    <phoneticPr fontId="1"/>
  </si>
  <si>
    <t>コメディカル等の人材を含めチームで医療ができる環境であること /子育て中の場合、時短勤務となることが許容されること</t>
    <rPh sb="37" eb="39">
      <t>バアイ</t>
    </rPh>
    <phoneticPr fontId="1"/>
  </si>
  <si>
    <t>そもそも医師の絶対数が足りない/子供の教育を考えると札幌から通えるところが現実的/自分の活躍が理解・評価されること</t>
    <rPh sb="50" eb="52">
      <t>ヒョウカ</t>
    </rPh>
    <phoneticPr fontId="1"/>
  </si>
  <si>
    <t>子供の病気時に対応できる病院が近くにあること/行政等からのサポートが十分であること/地方は時間外労働が厳しく病院にいなくても拘束時間が長い</t>
    <phoneticPr fontId="1"/>
  </si>
  <si>
    <t>家族が暮らしやすいかが最も大事/プライバシーが守られること/病院の理念・院長のリーダーシップ/地域医療従事で給与・待遇が都市部より高いこと</t>
    <rPh sb="65" eb="66">
      <t>タカ</t>
    </rPh>
    <phoneticPr fontId="1"/>
  </si>
  <si>
    <t>問15　これまでの勤務経験の中で「地域勤務を経験して良かった」と感じたこと</t>
    <rPh sb="0" eb="1">
      <t>ト</t>
    </rPh>
    <rPh sb="9" eb="11">
      <t>キンム</t>
    </rPh>
    <rPh sb="11" eb="13">
      <t>ケイケン</t>
    </rPh>
    <rPh sb="14" eb="15">
      <t>ナカ</t>
    </rPh>
    <rPh sb="17" eb="19">
      <t>チイキ</t>
    </rPh>
    <rPh sb="19" eb="21">
      <t>キンム</t>
    </rPh>
    <rPh sb="22" eb="24">
      <t>ケイケン</t>
    </rPh>
    <rPh sb="26" eb="27">
      <t>ヨ</t>
    </rPh>
    <rPh sb="32" eb="33">
      <t>カン</t>
    </rPh>
    <phoneticPr fontId="7"/>
  </si>
  <si>
    <t>幅広い症例を経験できた</t>
    <rPh sb="0" eb="2">
      <t>ハバヒロ</t>
    </rPh>
    <rPh sb="3" eb="5">
      <t>ショウレイ</t>
    </rPh>
    <rPh sb="6" eb="8">
      <t>ケイケン</t>
    </rPh>
    <phoneticPr fontId="7"/>
  </si>
  <si>
    <t>患者、住民から必要とされる充実感がある（患者との距離が近い）</t>
    <rPh sb="0" eb="2">
      <t>カンジャ</t>
    </rPh>
    <rPh sb="3" eb="5">
      <t>ジュウミン</t>
    </rPh>
    <rPh sb="7" eb="9">
      <t>ヒツヨウ</t>
    </rPh>
    <rPh sb="13" eb="16">
      <t>ジュウジツカン</t>
    </rPh>
    <rPh sb="20" eb="22">
      <t>カンジャ</t>
    </rPh>
    <rPh sb="24" eb="26">
      <t>キョリ</t>
    </rPh>
    <rPh sb="27" eb="28">
      <t>チカ</t>
    </rPh>
    <phoneticPr fontId="7"/>
  </si>
  <si>
    <t>診療に対する裁量が大きい（任される部分が多い）</t>
    <rPh sb="0" eb="2">
      <t>シンリョウ</t>
    </rPh>
    <rPh sb="3" eb="4">
      <t>タイ</t>
    </rPh>
    <rPh sb="6" eb="8">
      <t>サイリョウ</t>
    </rPh>
    <rPh sb="9" eb="10">
      <t>オオ</t>
    </rPh>
    <rPh sb="13" eb="14">
      <t>マカ</t>
    </rPh>
    <rPh sb="17" eb="19">
      <t>ブブン</t>
    </rPh>
    <rPh sb="20" eb="21">
      <t>オオ</t>
    </rPh>
    <phoneticPr fontId="1"/>
  </si>
  <si>
    <t>環境が良い（地域、自然、子どもの成長等）</t>
    <rPh sb="0" eb="2">
      <t>カンキョウ</t>
    </rPh>
    <rPh sb="3" eb="4">
      <t>ヨ</t>
    </rPh>
    <rPh sb="6" eb="8">
      <t>チイキ</t>
    </rPh>
    <rPh sb="9" eb="11">
      <t>シゼン</t>
    </rPh>
    <rPh sb="12" eb="13">
      <t>コ</t>
    </rPh>
    <rPh sb="16" eb="18">
      <t>セイチョウ</t>
    </rPh>
    <rPh sb="18" eb="19">
      <t>トウ</t>
    </rPh>
    <phoneticPr fontId="1"/>
  </si>
  <si>
    <t>地域（住民）からの支援や理解がある</t>
    <rPh sb="0" eb="2">
      <t>チイキ</t>
    </rPh>
    <rPh sb="3" eb="5">
      <t>ジュウミン</t>
    </rPh>
    <rPh sb="9" eb="11">
      <t>シエン</t>
    </rPh>
    <rPh sb="12" eb="14">
      <t>リカイ</t>
    </rPh>
    <phoneticPr fontId="1"/>
  </si>
  <si>
    <t>幅広い症例を
経験できた</t>
    <rPh sb="0" eb="2">
      <t>ハバヒロ</t>
    </rPh>
    <rPh sb="3" eb="5">
      <t>ショウレイ</t>
    </rPh>
    <rPh sb="7" eb="9">
      <t>ケイケン</t>
    </rPh>
    <phoneticPr fontId="7"/>
  </si>
  <si>
    <t>患者、住民から必要と
される充実感がある
（患者との距離が近い）</t>
    <rPh sb="0" eb="2">
      <t>カンジャ</t>
    </rPh>
    <rPh sb="3" eb="5">
      <t>ジュウミン</t>
    </rPh>
    <rPh sb="7" eb="9">
      <t>ヒツヨウ</t>
    </rPh>
    <rPh sb="14" eb="17">
      <t>ジュウジツカン</t>
    </rPh>
    <rPh sb="22" eb="24">
      <t>カンジャ</t>
    </rPh>
    <rPh sb="26" eb="28">
      <t>キョリ</t>
    </rPh>
    <rPh sb="29" eb="30">
      <t>チカ</t>
    </rPh>
    <phoneticPr fontId="7"/>
  </si>
  <si>
    <t>診療に対する
裁量が大きい
（任される部分が多い）</t>
    <rPh sb="0" eb="2">
      <t>シンリョウ</t>
    </rPh>
    <rPh sb="3" eb="4">
      <t>タイ</t>
    </rPh>
    <rPh sb="7" eb="9">
      <t>サイリョウ</t>
    </rPh>
    <rPh sb="10" eb="11">
      <t>オオ</t>
    </rPh>
    <rPh sb="15" eb="16">
      <t>マカ</t>
    </rPh>
    <rPh sb="19" eb="21">
      <t>ブブン</t>
    </rPh>
    <rPh sb="22" eb="23">
      <t>オオ</t>
    </rPh>
    <phoneticPr fontId="1"/>
  </si>
  <si>
    <t>環境が良い（地域、
自然、子どもの成長等）</t>
    <rPh sb="0" eb="2">
      <t>カンキョウ</t>
    </rPh>
    <rPh sb="3" eb="4">
      <t>ヨ</t>
    </rPh>
    <rPh sb="6" eb="8">
      <t>チイキ</t>
    </rPh>
    <rPh sb="10" eb="12">
      <t>シゼン</t>
    </rPh>
    <rPh sb="13" eb="14">
      <t>コ</t>
    </rPh>
    <rPh sb="17" eb="19">
      <t>セイチョウ</t>
    </rPh>
    <rPh sb="19" eb="20">
      <t>トウ</t>
    </rPh>
    <phoneticPr fontId="1"/>
  </si>
  <si>
    <t>地域（住民）からの
支援や理解がある</t>
    <rPh sb="0" eb="2">
      <t>チイキ</t>
    </rPh>
    <rPh sb="3" eb="5">
      <t>ジュウミン</t>
    </rPh>
    <rPh sb="10" eb="12">
      <t>シエン</t>
    </rPh>
    <rPh sb="13" eb="15">
      <t>リカイ</t>
    </rPh>
    <phoneticPr fontId="1"/>
  </si>
  <si>
    <t>問16　地域勤務の経験の中で、他の病院にも広めた方が良いこと、改善すべきこと</t>
    <rPh sb="0" eb="1">
      <t>ト</t>
    </rPh>
    <rPh sb="4" eb="6">
      <t>チイキ</t>
    </rPh>
    <rPh sb="6" eb="8">
      <t>キンム</t>
    </rPh>
    <rPh sb="9" eb="11">
      <t>ケイケン</t>
    </rPh>
    <rPh sb="12" eb="13">
      <t>ナカ</t>
    </rPh>
    <rPh sb="15" eb="16">
      <t>ホカ</t>
    </rPh>
    <rPh sb="17" eb="19">
      <t>ビョウイン</t>
    </rPh>
    <rPh sb="21" eb="22">
      <t>ヒロ</t>
    </rPh>
    <rPh sb="24" eb="25">
      <t>ホウ</t>
    </rPh>
    <rPh sb="26" eb="27">
      <t>ヨ</t>
    </rPh>
    <rPh sb="31" eb="33">
      <t>カイゼン</t>
    </rPh>
    <phoneticPr fontId="7"/>
  </si>
  <si>
    <t>○休日・勤務形態等に関すること</t>
    <rPh sb="1" eb="3">
      <t>キュウジツ</t>
    </rPh>
    <rPh sb="4" eb="6">
      <t>キンム</t>
    </rPh>
    <rPh sb="6" eb="8">
      <t>ケイタイ</t>
    </rPh>
    <rPh sb="8" eb="9">
      <t>トウ</t>
    </rPh>
    <rPh sb="10" eb="11">
      <t>カン</t>
    </rPh>
    <phoneticPr fontId="1"/>
  </si>
  <si>
    <t>全科当直が免除になると良い</t>
    <phoneticPr fontId="1"/>
  </si>
  <si>
    <t>地域勤務といっても各自治体によっての重要度がかなり違いがある</t>
    <phoneticPr fontId="1"/>
  </si>
  <si>
    <t>○処遇等に関すること</t>
    <rPh sb="1" eb="3">
      <t>ショグウ</t>
    </rPh>
    <rPh sb="3" eb="4">
      <t>トウ</t>
    </rPh>
    <rPh sb="5" eb="6">
      <t>カン</t>
    </rPh>
    <phoneticPr fontId="1"/>
  </si>
  <si>
    <t>自宅往復の交通費を支給してほしい/いいＤｒに来てもらえるような職場環境の整備/頑張っている人に報酬を出来高でプラスできるような取組</t>
    <rPh sb="0" eb="2">
      <t>ジタク</t>
    </rPh>
    <phoneticPr fontId="1"/>
  </si>
  <si>
    <t>当直明けの勤務時間短縮/休みがほしいときにある程度調整できる自由度がかなり重要</t>
    <phoneticPr fontId="1"/>
  </si>
  <si>
    <t>○地域住民に関すること</t>
    <rPh sb="1" eb="3">
      <t>チイキ</t>
    </rPh>
    <rPh sb="3" eb="5">
      <t>ジュウミン</t>
    </rPh>
    <rPh sb="6" eb="7">
      <t>カン</t>
    </rPh>
    <phoneticPr fontId="1"/>
  </si>
  <si>
    <t>住民有志が病院を応援する団体を作った/不要不急な時間外受診をしないように啓蒙すること</t>
    <phoneticPr fontId="1"/>
  </si>
  <si>
    <t>地域住民が自主的に結成した団体が、コンビニ受診を減らすよう地域で働きかけたり病院業務が円滑に進むよう患者に呼びかけ運動をしたりしてくれた</t>
    <phoneticPr fontId="1"/>
  </si>
  <si>
    <t>病院内のいろいろな職種の人と医療以外のことでも交流する機会，レクレーションなどがあると良い</t>
    <phoneticPr fontId="1"/>
  </si>
  <si>
    <t>住民の方が「大病院指向」で当院にて対応が可能にもかかわらず、大都市の総合病院に行っていることが多々ある</t>
    <phoneticPr fontId="1"/>
  </si>
  <si>
    <t>○人員の確保に関すること</t>
    <rPh sb="1" eb="3">
      <t>ジンイン</t>
    </rPh>
    <rPh sb="4" eb="6">
      <t>カクホ</t>
    </rPh>
    <rPh sb="7" eb="8">
      <t>カン</t>
    </rPh>
    <phoneticPr fontId="1"/>
  </si>
  <si>
    <t>医師確保が極めて困難/高齢者が多い地域医療を担う40～50代の医師が定着すると良い</t>
    <rPh sb="22" eb="23">
      <t>ニナ</t>
    </rPh>
    <phoneticPr fontId="1"/>
  </si>
  <si>
    <t>一本釣りの医師頼みでは安定した医療体制は整えられないので、医局などの組織から医師を供給することが必要だと思う</t>
    <phoneticPr fontId="1"/>
  </si>
  <si>
    <t>大学や基幹病院に勤務する若い医師に地方の病院で勤務する診療体制をもっと多くつくることで地域の医師の疲弊は軽減される</t>
    <phoneticPr fontId="1"/>
  </si>
  <si>
    <t>○制度に関すること</t>
    <rPh sb="1" eb="3">
      <t>セイド</t>
    </rPh>
    <rPh sb="4" eb="5">
      <t>カン</t>
    </rPh>
    <phoneticPr fontId="1"/>
  </si>
  <si>
    <t>救急のたらい回しが起こらない体制整備が必要/地域間の連携/男性医師の育児休暇の取得、当直明けの休み、年休取得実現させました</t>
    <phoneticPr fontId="1"/>
  </si>
  <si>
    <t>大学病院のように救急外来当番の次の日は休みを取れるようにした方がよい/夜間休日を当番制にすることで、休みの日ができるようになった</t>
    <phoneticPr fontId="1"/>
  </si>
  <si>
    <t>○その他</t>
    <rPh sb="3" eb="4">
      <t>タ</t>
    </rPh>
    <phoneticPr fontId="1"/>
  </si>
  <si>
    <t>病院の統廃合/公立病院診療所の場合は医療行政がまともな事が大事/学会参加や講演会などの費用のサポートが必要</t>
    <phoneticPr fontId="1"/>
  </si>
  <si>
    <t>地方でも研修医を教える体制を構築し若い医師にきてもらうことで、常勤医も新しい知識を学ぶことができる/一人である程度できる技術のある医師が必要</t>
    <phoneticPr fontId="1"/>
  </si>
  <si>
    <t>休みと給与が良くなければ札幌など都市圏以外にいる理由に乏しい/地域勤務に限らないが、給与・手当の充実は最重要だと思う</t>
    <phoneticPr fontId="1"/>
  </si>
  <si>
    <t>問１０　①病床数</t>
    <rPh sb="0" eb="1">
      <t>ト</t>
    </rPh>
    <rPh sb="5" eb="8">
      <t>ビョウショウスウ</t>
    </rPh>
    <phoneticPr fontId="7"/>
  </si>
  <si>
    <t>H25と変更なし</t>
    <rPh sb="4" eb="6">
      <t>ヘンコウ</t>
    </rPh>
    <phoneticPr fontId="1"/>
  </si>
  <si>
    <t>設備を充足させることで医師は働きやすくなる、老朽化した病院には医者は集まらないので規模を縮小してでもリニューアルする努力をすべきだと思う</t>
    <phoneticPr fontId="1"/>
  </si>
  <si>
    <t>Ｈ２７</t>
    <phoneticPr fontId="1"/>
  </si>
  <si>
    <t>Ｈ２５</t>
  </si>
  <si>
    <t>１００未満</t>
    <rPh sb="3" eb="5">
      <t>ミマン</t>
    </rPh>
    <phoneticPr fontId="7"/>
  </si>
  <si>
    <t>１００～２９９</t>
  </si>
  <si>
    <t>３００～４９９</t>
  </si>
  <si>
    <t>５００～６９９</t>
  </si>
  <si>
    <t>７００以上</t>
    <rPh sb="3" eb="5">
      <t>イジョウ</t>
    </rPh>
    <phoneticPr fontId="7"/>
  </si>
  <si>
    <t>※問10　②診療科目　は前回も非掲載（非公表）　今回も同様とする</t>
    <rPh sb="1" eb="2">
      <t>ト</t>
    </rPh>
    <rPh sb="6" eb="8">
      <t>シンリョウ</t>
    </rPh>
    <rPh sb="8" eb="10">
      <t>カモク</t>
    </rPh>
    <rPh sb="12" eb="14">
      <t>ゼンカイ</t>
    </rPh>
    <rPh sb="15" eb="16">
      <t>ヒ</t>
    </rPh>
    <rPh sb="16" eb="18">
      <t>ケイサイ</t>
    </rPh>
    <rPh sb="19" eb="20">
      <t>ヒ</t>
    </rPh>
    <rPh sb="20" eb="22">
      <t>コウヒョウ</t>
    </rPh>
    <rPh sb="24" eb="26">
      <t>コンカイ</t>
    </rPh>
    <rPh sb="27" eb="29">
      <t>ドウヨウ</t>
    </rPh>
    <phoneticPr fontId="1"/>
  </si>
  <si>
    <t>問１０　③当直回数</t>
    <rPh sb="0" eb="1">
      <t>ト</t>
    </rPh>
    <rPh sb="5" eb="7">
      <t>トウチョク</t>
    </rPh>
    <rPh sb="7" eb="9">
      <t>カイスウ</t>
    </rPh>
    <phoneticPr fontId="7"/>
  </si>
  <si>
    <t>H25と変更なし（地方・都市部・センター毎の平均回数／月を算出する必要があるか）</t>
    <rPh sb="4" eb="6">
      <t>ヘンコウ</t>
    </rPh>
    <rPh sb="9" eb="11">
      <t>チホウ</t>
    </rPh>
    <rPh sb="12" eb="15">
      <t>トシブ</t>
    </rPh>
    <rPh sb="20" eb="21">
      <t>ゴト</t>
    </rPh>
    <rPh sb="22" eb="24">
      <t>ヘイキン</t>
    </rPh>
    <rPh sb="24" eb="26">
      <t>カイスウ</t>
    </rPh>
    <rPh sb="27" eb="28">
      <t>ツキ</t>
    </rPh>
    <rPh sb="29" eb="31">
      <t>サンシュツ</t>
    </rPh>
    <rPh sb="33" eb="35">
      <t>ヒツヨウ</t>
    </rPh>
    <phoneticPr fontId="1"/>
  </si>
  <si>
    <t>月１回未満</t>
    <rPh sb="0" eb="1">
      <t>ツキ</t>
    </rPh>
    <rPh sb="2" eb="3">
      <t>カイ</t>
    </rPh>
    <rPh sb="3" eb="5">
      <t>ミマン</t>
    </rPh>
    <phoneticPr fontId="7"/>
  </si>
  <si>
    <t>月１～３回</t>
    <rPh sb="0" eb="1">
      <t>ツキ</t>
    </rPh>
    <rPh sb="4" eb="5">
      <t>カイ</t>
    </rPh>
    <phoneticPr fontId="7"/>
  </si>
  <si>
    <t>月３～５回</t>
    <rPh sb="0" eb="1">
      <t>ツキ</t>
    </rPh>
    <rPh sb="4" eb="5">
      <t>カイ</t>
    </rPh>
    <phoneticPr fontId="7"/>
  </si>
  <si>
    <t>月５回以上</t>
    <rPh sb="0" eb="1">
      <t>ツキ</t>
    </rPh>
    <rPh sb="2" eb="3">
      <t>カイ</t>
    </rPh>
    <rPh sb="3" eb="5">
      <t>イジョウ</t>
    </rPh>
    <phoneticPr fontId="7"/>
  </si>
  <si>
    <t>平均回数／月</t>
    <rPh sb="0" eb="2">
      <t>ヘイキン</t>
    </rPh>
    <rPh sb="2" eb="4">
      <t>カイスウ</t>
    </rPh>
    <rPh sb="5" eb="6">
      <t>ツキ</t>
    </rPh>
    <phoneticPr fontId="7"/>
  </si>
  <si>
    <t>問１１　出身地での勤務</t>
    <rPh sb="0" eb="1">
      <t>ト</t>
    </rPh>
    <rPh sb="4" eb="7">
      <t>シュッシンチ</t>
    </rPh>
    <rPh sb="9" eb="11">
      <t>キンム</t>
    </rPh>
    <phoneticPr fontId="7"/>
  </si>
  <si>
    <t>センター</t>
    <phoneticPr fontId="1"/>
  </si>
  <si>
    <t>希望する</t>
    <rPh sb="0" eb="2">
      <t>キボウ</t>
    </rPh>
    <phoneticPr fontId="7"/>
  </si>
  <si>
    <t>希望しない</t>
    <rPh sb="0" eb="2">
      <t>キボウ</t>
    </rPh>
    <phoneticPr fontId="7"/>
  </si>
  <si>
    <t>現在出身地で勤務中</t>
    <rPh sb="0" eb="2">
      <t>ゲンザイ</t>
    </rPh>
    <rPh sb="2" eb="5">
      <t>シュッシンチ</t>
    </rPh>
    <rPh sb="6" eb="9">
      <t>キンムチュウ</t>
    </rPh>
    <phoneticPr fontId="7"/>
  </si>
  <si>
    <t>問１２　現在の病院に勤務することになった経緯</t>
    <rPh sb="0" eb="1">
      <t>ト</t>
    </rPh>
    <rPh sb="4" eb="6">
      <t>ゲンザイ</t>
    </rPh>
    <rPh sb="7" eb="9">
      <t>ビョウイン</t>
    </rPh>
    <rPh sb="10" eb="12">
      <t>キンム</t>
    </rPh>
    <rPh sb="20" eb="22">
      <t>ケイイ</t>
    </rPh>
    <phoneticPr fontId="7"/>
  </si>
  <si>
    <t>H25に「自分から応募」追加</t>
    <rPh sb="5" eb="7">
      <t>ジブン</t>
    </rPh>
    <rPh sb="9" eb="11">
      <t>オウボ</t>
    </rPh>
    <rPh sb="12" eb="14">
      <t>ツイカ</t>
    </rPh>
    <phoneticPr fontId="1"/>
  </si>
  <si>
    <t>　大学からの派遣</t>
    <rPh sb="1" eb="3">
      <t>ダイガク</t>
    </rPh>
    <rPh sb="6" eb="8">
      <t>ハケン</t>
    </rPh>
    <phoneticPr fontId="1"/>
  </si>
  <si>
    <t>　友人などからの紹介</t>
    <rPh sb="1" eb="3">
      <t>ユウジン</t>
    </rPh>
    <rPh sb="8" eb="10">
      <t>ショウカイ</t>
    </rPh>
    <phoneticPr fontId="7"/>
  </si>
  <si>
    <t>　医師の就業斡旋を行う</t>
    <rPh sb="1" eb="3">
      <t>イシ</t>
    </rPh>
    <rPh sb="4" eb="6">
      <t>シュウギョウ</t>
    </rPh>
    <rPh sb="6" eb="8">
      <t>アッセン</t>
    </rPh>
    <rPh sb="9" eb="10">
      <t>オコナ</t>
    </rPh>
    <phoneticPr fontId="7"/>
  </si>
  <si>
    <t>　団体・業者等からの照会</t>
    <rPh sb="1" eb="3">
      <t>ダンタイ</t>
    </rPh>
    <rPh sb="4" eb="6">
      <t>ギョウシャ</t>
    </rPh>
    <rPh sb="6" eb="7">
      <t>トウ</t>
    </rPh>
    <rPh sb="10" eb="12">
      <t>ショウカイ</t>
    </rPh>
    <phoneticPr fontId="1"/>
  </si>
  <si>
    <t>　自分から応募</t>
    <rPh sb="1" eb="3">
      <t>ジブン</t>
    </rPh>
    <rPh sb="5" eb="7">
      <t>オウボ</t>
    </rPh>
    <phoneticPr fontId="1"/>
  </si>
  <si>
    <t>　その他</t>
    <rPh sb="3" eb="4">
      <t>タ</t>
    </rPh>
    <phoneticPr fontId="7"/>
  </si>
  <si>
    <t>　無回答</t>
    <rPh sb="1" eb="4">
      <t>ムカイトウ</t>
    </rPh>
    <phoneticPr fontId="7"/>
  </si>
  <si>
    <t>問１３　現在の勤務先を選んだ理由　①家族や地域等に関すること</t>
    <rPh sb="0" eb="1">
      <t>ト</t>
    </rPh>
    <rPh sb="4" eb="6">
      <t>ゲンザイ</t>
    </rPh>
    <rPh sb="7" eb="10">
      <t>キンムサキ</t>
    </rPh>
    <rPh sb="11" eb="12">
      <t>エラ</t>
    </rPh>
    <rPh sb="14" eb="16">
      <t>リユウ</t>
    </rPh>
    <rPh sb="18" eb="20">
      <t>カゾク</t>
    </rPh>
    <rPh sb="21" eb="23">
      <t>チイキ</t>
    </rPh>
    <rPh sb="23" eb="24">
      <t>トウ</t>
    </rPh>
    <rPh sb="25" eb="26">
      <t>カン</t>
    </rPh>
    <phoneticPr fontId="7"/>
  </si>
  <si>
    <t>Ｈ２３</t>
    <phoneticPr fontId="1"/>
  </si>
  <si>
    <t>　家族の希望であるため</t>
    <rPh sb="1" eb="3">
      <t>カゾク</t>
    </rPh>
    <rPh sb="4" eb="6">
      <t>キボウ</t>
    </rPh>
    <phoneticPr fontId="1"/>
  </si>
  <si>
    <t>　配偶者の居住地・勤務地で</t>
    <rPh sb="1" eb="4">
      <t>ハイグウシャ</t>
    </rPh>
    <rPh sb="5" eb="8">
      <t>キョジュウチ</t>
    </rPh>
    <rPh sb="9" eb="12">
      <t>キンムチ</t>
    </rPh>
    <phoneticPr fontId="1"/>
  </si>
  <si>
    <t>　あるため</t>
    <phoneticPr fontId="1"/>
  </si>
  <si>
    <t>　出身地であるため</t>
    <rPh sb="1" eb="4">
      <t>シュッシンチ</t>
    </rPh>
    <phoneticPr fontId="7"/>
  </si>
  <si>
    <t>　（又は実家に近い）</t>
    <rPh sb="2" eb="3">
      <t>マタ</t>
    </rPh>
    <rPh sb="4" eb="6">
      <t>ジッカ</t>
    </rPh>
    <rPh sb="7" eb="8">
      <t>チカ</t>
    </rPh>
    <phoneticPr fontId="1"/>
  </si>
  <si>
    <t>問1６</t>
    <rPh sb="0" eb="1">
      <t>ト</t>
    </rPh>
    <phoneticPr fontId="7"/>
  </si>
  <si>
    <t>困っていること、不安・不満なこと（上位１０項目）</t>
    <rPh sb="0" eb="1">
      <t>コマ</t>
    </rPh>
    <rPh sb="8" eb="10">
      <t>フアン</t>
    </rPh>
    <rPh sb="11" eb="13">
      <t>フマン</t>
    </rPh>
    <rPh sb="17" eb="19">
      <t>ジョウイ</t>
    </rPh>
    <rPh sb="21" eb="23">
      <t>コウモク</t>
    </rPh>
    <phoneticPr fontId="7"/>
  </si>
  <si>
    <t>　子どもの教育環境が</t>
    <rPh sb="1" eb="2">
      <t>コ</t>
    </rPh>
    <rPh sb="5" eb="7">
      <t>キョウイク</t>
    </rPh>
    <rPh sb="7" eb="9">
      <t>カンキョウ</t>
    </rPh>
    <phoneticPr fontId="7"/>
  </si>
  <si>
    <t>　整備されているため</t>
    <rPh sb="1" eb="3">
      <t>セイビ</t>
    </rPh>
    <phoneticPr fontId="1"/>
  </si>
  <si>
    <t>　へき地医療への情熱</t>
    <rPh sb="3" eb="4">
      <t>チ</t>
    </rPh>
    <rPh sb="4" eb="6">
      <t>イリョウ</t>
    </rPh>
    <rPh sb="8" eb="10">
      <t>ジョウネツ</t>
    </rPh>
    <phoneticPr fontId="1"/>
  </si>
  <si>
    <t>業務が多忙</t>
    <rPh sb="0" eb="2">
      <t>ギョウム</t>
    </rPh>
    <rPh sb="3" eb="5">
      <t>タボウ</t>
    </rPh>
    <phoneticPr fontId="7"/>
  </si>
  <si>
    <t>　都市部であるため</t>
    <rPh sb="1" eb="4">
      <t>トシブ</t>
    </rPh>
    <phoneticPr fontId="1"/>
  </si>
  <si>
    <t>働きがいや自分自身の将来展望</t>
    <rPh sb="0" eb="1">
      <t>ハタラ</t>
    </rPh>
    <rPh sb="5" eb="7">
      <t>ジブン</t>
    </rPh>
    <rPh sb="7" eb="9">
      <t>ジシン</t>
    </rPh>
    <rPh sb="10" eb="12">
      <t>ショウライ</t>
    </rPh>
    <rPh sb="12" eb="14">
      <t>テンボウ</t>
    </rPh>
    <phoneticPr fontId="7"/>
  </si>
  <si>
    <t>　又は交通の便が良い</t>
    <rPh sb="1" eb="2">
      <t>マタ</t>
    </rPh>
    <rPh sb="3" eb="5">
      <t>コウツウ</t>
    </rPh>
    <rPh sb="6" eb="7">
      <t>ベン</t>
    </rPh>
    <rPh sb="8" eb="9">
      <t>ヨ</t>
    </rPh>
    <phoneticPr fontId="1"/>
  </si>
  <si>
    <t>　特になし</t>
    <rPh sb="1" eb="2">
      <t>トク</t>
    </rPh>
    <phoneticPr fontId="1"/>
  </si>
  <si>
    <t>給与、昇進など人事待遇</t>
    <rPh sb="0" eb="2">
      <t>キュウヨ</t>
    </rPh>
    <rPh sb="3" eb="5">
      <t>ショウシン</t>
    </rPh>
    <rPh sb="7" eb="9">
      <t>ジンジ</t>
    </rPh>
    <rPh sb="9" eb="11">
      <t>タイグウ</t>
    </rPh>
    <phoneticPr fontId="7"/>
  </si>
  <si>
    <t>スキルアップ、専門性の強化ができない</t>
    <rPh sb="7" eb="10">
      <t>センモンセイ</t>
    </rPh>
    <rPh sb="11" eb="13">
      <t>キョウカ</t>
    </rPh>
    <phoneticPr fontId="7"/>
  </si>
  <si>
    <t>勤務先の経営状態（経営不安定など）</t>
    <rPh sb="0" eb="3">
      <t>キンムサキ</t>
    </rPh>
    <rPh sb="4" eb="6">
      <t>ケイエイ</t>
    </rPh>
    <rPh sb="6" eb="8">
      <t>ジョウタイ</t>
    </rPh>
    <rPh sb="9" eb="11">
      <t>ケイエイ</t>
    </rPh>
    <rPh sb="11" eb="14">
      <t>フアンテイ</t>
    </rPh>
    <phoneticPr fontId="7"/>
  </si>
  <si>
    <t>勤務時間の長さ</t>
    <rPh sb="0" eb="2">
      <t>キンム</t>
    </rPh>
    <rPh sb="2" eb="4">
      <t>ジカン</t>
    </rPh>
    <rPh sb="5" eb="6">
      <t>ナガ</t>
    </rPh>
    <phoneticPr fontId="7"/>
  </si>
  <si>
    <t>問１３　現在の勤務先を選んだ理由　②医療機関等に関すること</t>
    <rPh sb="0" eb="1">
      <t>ト</t>
    </rPh>
    <rPh sb="4" eb="6">
      <t>ゲンザイ</t>
    </rPh>
    <rPh sb="7" eb="10">
      <t>キンムサキ</t>
    </rPh>
    <rPh sb="11" eb="12">
      <t>エラ</t>
    </rPh>
    <rPh sb="14" eb="16">
      <t>リユウ</t>
    </rPh>
    <rPh sb="18" eb="20">
      <t>イリョウ</t>
    </rPh>
    <rPh sb="20" eb="22">
      <t>キカン</t>
    </rPh>
    <rPh sb="22" eb="23">
      <t>トウ</t>
    </rPh>
    <rPh sb="24" eb="25">
      <t>カン</t>
    </rPh>
    <phoneticPr fontId="7"/>
  </si>
  <si>
    <t>病院の施設・設備など、職場環境が不十分</t>
    <rPh sb="0" eb="2">
      <t>ビョウイン</t>
    </rPh>
    <rPh sb="3" eb="5">
      <t>シセツ</t>
    </rPh>
    <rPh sb="6" eb="8">
      <t>セツビ</t>
    </rPh>
    <rPh sb="11" eb="13">
      <t>ショクバ</t>
    </rPh>
    <rPh sb="13" eb="15">
      <t>カンキョウ</t>
    </rPh>
    <rPh sb="16" eb="19">
      <t>フジュウブン</t>
    </rPh>
    <phoneticPr fontId="7"/>
  </si>
  <si>
    <t>院内での人間関係</t>
    <rPh sb="0" eb="2">
      <t>インナイ</t>
    </rPh>
    <rPh sb="4" eb="6">
      <t>ニンゲン</t>
    </rPh>
    <rPh sb="6" eb="8">
      <t>カンケイ</t>
    </rPh>
    <phoneticPr fontId="7"/>
  </si>
  <si>
    <t>　病院の施設・設備が充実</t>
    <rPh sb="1" eb="3">
      <t>ビョウイン</t>
    </rPh>
    <rPh sb="4" eb="6">
      <t>シセツ</t>
    </rPh>
    <rPh sb="7" eb="9">
      <t>セツビ</t>
    </rPh>
    <rPh sb="10" eb="12">
      <t>ジュウジツ</t>
    </rPh>
    <phoneticPr fontId="1"/>
  </si>
  <si>
    <t>　しているため</t>
    <phoneticPr fontId="1"/>
  </si>
  <si>
    <t>院内暴力・訴訟など職業に起因する不安</t>
    <rPh sb="0" eb="2">
      <t>インナイ</t>
    </rPh>
    <rPh sb="2" eb="4">
      <t>ボウリョク</t>
    </rPh>
    <rPh sb="5" eb="7">
      <t>ソショウ</t>
    </rPh>
    <rPh sb="9" eb="11">
      <t>ショクギョウ</t>
    </rPh>
    <rPh sb="12" eb="14">
      <t>キイン</t>
    </rPh>
    <rPh sb="16" eb="18">
      <t>フアン</t>
    </rPh>
    <phoneticPr fontId="7"/>
  </si>
  <si>
    <t>-</t>
    <phoneticPr fontId="7"/>
  </si>
  <si>
    <t>　臨床研修を受けた病院で</t>
    <rPh sb="1" eb="3">
      <t>リンショウ</t>
    </rPh>
    <rPh sb="3" eb="5">
      <t>ケンシュウ</t>
    </rPh>
    <rPh sb="6" eb="7">
      <t>ウ</t>
    </rPh>
    <rPh sb="9" eb="11">
      <t>ビョウイン</t>
    </rPh>
    <phoneticPr fontId="1"/>
  </si>
  <si>
    <t>患者との信頼関係の破綻など、やりがいがない</t>
    <rPh sb="0" eb="2">
      <t>カンジャ</t>
    </rPh>
    <rPh sb="4" eb="6">
      <t>シンライ</t>
    </rPh>
    <rPh sb="6" eb="8">
      <t>カンケイ</t>
    </rPh>
    <rPh sb="9" eb="11">
      <t>ハタン</t>
    </rPh>
    <phoneticPr fontId="7"/>
  </si>
  <si>
    <t>　国公立の病院であるため</t>
    <rPh sb="1" eb="4">
      <t>コッコウリツ</t>
    </rPh>
    <rPh sb="5" eb="7">
      <t>ビョウイン</t>
    </rPh>
    <phoneticPr fontId="7"/>
  </si>
  <si>
    <t>アンケート回答者</t>
    <rPh sb="5" eb="8">
      <t>カイトウシャ</t>
    </rPh>
    <phoneticPr fontId="7"/>
  </si>
  <si>
    <t>　臨床研修修了後の研修プロ</t>
    <rPh sb="1" eb="3">
      <t>リンショウ</t>
    </rPh>
    <rPh sb="3" eb="5">
      <t>ケンシュウ</t>
    </rPh>
    <rPh sb="5" eb="7">
      <t>シュウリョウ</t>
    </rPh>
    <rPh sb="7" eb="8">
      <t>アト</t>
    </rPh>
    <rPh sb="9" eb="11">
      <t>ケンシュウ</t>
    </rPh>
    <phoneticPr fontId="7"/>
  </si>
  <si>
    <t>問１６の回答数（その他以外）</t>
    <rPh sb="0" eb="1">
      <t>トイ</t>
    </rPh>
    <rPh sb="4" eb="7">
      <t>カイトウスウ</t>
    </rPh>
    <rPh sb="10" eb="11">
      <t>タ</t>
    </rPh>
    <rPh sb="11" eb="13">
      <t>イガイ</t>
    </rPh>
    <phoneticPr fontId="7"/>
  </si>
  <si>
    <t>　グラムが優れているため</t>
    <rPh sb="5" eb="6">
      <t>スグ</t>
    </rPh>
    <phoneticPr fontId="1"/>
  </si>
  <si>
    <t>　臨床研究が優れているため</t>
    <rPh sb="1" eb="3">
      <t>リンショウ</t>
    </rPh>
    <rPh sb="3" eb="5">
      <t>ケンキュウ</t>
    </rPh>
    <rPh sb="6" eb="7">
      <t>スグ</t>
    </rPh>
    <phoneticPr fontId="1"/>
  </si>
  <si>
    <t>問1７</t>
    <rPh sb="0" eb="1">
      <t>ト</t>
    </rPh>
    <phoneticPr fontId="7"/>
  </si>
  <si>
    <t>地域での勤務条件（上位１５項目）</t>
    <rPh sb="0" eb="2">
      <t>チイキ</t>
    </rPh>
    <rPh sb="4" eb="6">
      <t>キンム</t>
    </rPh>
    <rPh sb="6" eb="8">
      <t>ジョウケン</t>
    </rPh>
    <rPh sb="9" eb="11">
      <t>ジョウイ</t>
    </rPh>
    <rPh sb="13" eb="15">
      <t>コウモク</t>
    </rPh>
    <phoneticPr fontId="7"/>
  </si>
  <si>
    <t>　優れた指導者がいるため</t>
    <rPh sb="1" eb="2">
      <t>スグ</t>
    </rPh>
    <rPh sb="4" eb="7">
      <t>シドウシャ</t>
    </rPh>
    <phoneticPr fontId="1"/>
  </si>
  <si>
    <t>医師の勤務環境に対して地域の理解がある</t>
    <rPh sb="0" eb="2">
      <t>イシ</t>
    </rPh>
    <rPh sb="3" eb="5">
      <t>キンム</t>
    </rPh>
    <rPh sb="5" eb="7">
      <t>カンキョウ</t>
    </rPh>
    <rPh sb="8" eb="9">
      <t>タイ</t>
    </rPh>
    <rPh sb="11" eb="13">
      <t>チイキ</t>
    </rPh>
    <rPh sb="14" eb="16">
      <t>リカイ</t>
    </rPh>
    <phoneticPr fontId="7"/>
  </si>
  <si>
    <t>給与が良い</t>
    <rPh sb="0" eb="2">
      <t>キュウヨ</t>
    </rPh>
    <rPh sb="3" eb="4">
      <t>ヨ</t>
    </rPh>
    <phoneticPr fontId="7"/>
  </si>
  <si>
    <t>他病院とのネットワーク・連携がある</t>
    <rPh sb="0" eb="3">
      <t>タビョウイン</t>
    </rPh>
    <rPh sb="12" eb="14">
      <t>レンケイ</t>
    </rPh>
    <phoneticPr fontId="7"/>
  </si>
  <si>
    <t>一定の期間に限定されている</t>
    <rPh sb="0" eb="2">
      <t>イッテイ</t>
    </rPh>
    <rPh sb="3" eb="5">
      <t>キカン</t>
    </rPh>
    <rPh sb="6" eb="8">
      <t>ゲンテイ</t>
    </rPh>
    <phoneticPr fontId="7"/>
  </si>
  <si>
    <t>問１３　現在の勤務先を選んだ理由　③勤務環境・条件等に関すること</t>
    <rPh sb="0" eb="1">
      <t>ト</t>
    </rPh>
    <rPh sb="4" eb="6">
      <t>ゲンザイ</t>
    </rPh>
    <rPh sb="7" eb="10">
      <t>キンムサキ</t>
    </rPh>
    <rPh sb="11" eb="12">
      <t>エラ</t>
    </rPh>
    <rPh sb="14" eb="16">
      <t>リユウ</t>
    </rPh>
    <rPh sb="18" eb="20">
      <t>キンム</t>
    </rPh>
    <rPh sb="20" eb="22">
      <t>カンキョウ</t>
    </rPh>
    <rPh sb="23" eb="25">
      <t>ジョウケン</t>
    </rPh>
    <rPh sb="25" eb="26">
      <t>トウ</t>
    </rPh>
    <rPh sb="27" eb="28">
      <t>カン</t>
    </rPh>
    <phoneticPr fontId="7"/>
  </si>
  <si>
    <t>　給与や手当が良いため</t>
    <rPh sb="1" eb="3">
      <t>キュウヨ</t>
    </rPh>
    <rPh sb="4" eb="6">
      <t>テアテ</t>
    </rPh>
    <rPh sb="7" eb="8">
      <t>ヨ</t>
    </rPh>
    <phoneticPr fontId="1"/>
  </si>
  <si>
    <t>居住環境が整備されている</t>
    <rPh sb="0" eb="2">
      <t>キョジュウ</t>
    </rPh>
    <rPh sb="2" eb="4">
      <t>カンキョウ</t>
    </rPh>
    <rPh sb="5" eb="7">
      <t>セイビ</t>
    </rPh>
    <phoneticPr fontId="7"/>
  </si>
  <si>
    <t>　当直回数が少ないため</t>
    <rPh sb="1" eb="3">
      <t>トウチョク</t>
    </rPh>
    <rPh sb="3" eb="5">
      <t>カイスウ</t>
    </rPh>
    <rPh sb="6" eb="7">
      <t>スク</t>
    </rPh>
    <phoneticPr fontId="1"/>
  </si>
  <si>
    <t>子どもの教育環境が整備されている</t>
    <rPh sb="0" eb="1">
      <t>コ</t>
    </rPh>
    <rPh sb="4" eb="6">
      <t>キョウイク</t>
    </rPh>
    <rPh sb="6" eb="8">
      <t>カンキョウ</t>
    </rPh>
    <rPh sb="9" eb="11">
      <t>セイビ</t>
    </rPh>
    <phoneticPr fontId="7"/>
  </si>
  <si>
    <t>　（休暇がとりやすい）</t>
    <rPh sb="2" eb="4">
      <t>キュウカ</t>
    </rPh>
    <phoneticPr fontId="1"/>
  </si>
  <si>
    <t>　福利厚生が充実しているため</t>
    <rPh sb="1" eb="3">
      <t>フクリ</t>
    </rPh>
    <rPh sb="3" eb="5">
      <t>コウセイ</t>
    </rPh>
    <rPh sb="6" eb="8">
      <t>ジュウジツ</t>
    </rPh>
    <phoneticPr fontId="7"/>
  </si>
  <si>
    <t>　出産・育児休暇制度が整って</t>
    <rPh sb="1" eb="3">
      <t>シュッサン</t>
    </rPh>
    <rPh sb="4" eb="6">
      <t>イクジ</t>
    </rPh>
    <rPh sb="6" eb="8">
      <t>キュウカ</t>
    </rPh>
    <rPh sb="8" eb="10">
      <t>セイド</t>
    </rPh>
    <rPh sb="11" eb="12">
      <t>トトノ</t>
    </rPh>
    <phoneticPr fontId="7"/>
  </si>
  <si>
    <t>　いるため（取得・復帰が容易）</t>
    <rPh sb="6" eb="8">
      <t>シュトク</t>
    </rPh>
    <rPh sb="9" eb="11">
      <t>フッキ</t>
    </rPh>
    <rPh sb="12" eb="14">
      <t>ヨウイ</t>
    </rPh>
    <phoneticPr fontId="1"/>
  </si>
  <si>
    <t>　医学博士号が取得できるため</t>
    <rPh sb="1" eb="3">
      <t>イガク</t>
    </rPh>
    <rPh sb="3" eb="5">
      <t>ハクシ</t>
    </rPh>
    <rPh sb="5" eb="6">
      <t>ゴウ</t>
    </rPh>
    <rPh sb="7" eb="9">
      <t>シュトク</t>
    </rPh>
    <phoneticPr fontId="1"/>
  </si>
  <si>
    <t>単身赴任の生活費や親族の元への交通費補助がある</t>
    <rPh sb="0" eb="2">
      <t>タンシン</t>
    </rPh>
    <rPh sb="2" eb="4">
      <t>フニン</t>
    </rPh>
    <rPh sb="5" eb="8">
      <t>セイカツヒ</t>
    </rPh>
    <rPh sb="9" eb="11">
      <t>シンゾク</t>
    </rPh>
    <rPh sb="12" eb="13">
      <t>モト</t>
    </rPh>
    <rPh sb="15" eb="18">
      <t>コウツウヒ</t>
    </rPh>
    <rPh sb="18" eb="20">
      <t>ホジョ</t>
    </rPh>
    <phoneticPr fontId="7"/>
  </si>
  <si>
    <t>　専門医取得につながるため</t>
    <rPh sb="1" eb="4">
      <t>センモンイ</t>
    </rPh>
    <rPh sb="4" eb="6">
      <t>シュトク</t>
    </rPh>
    <phoneticPr fontId="1"/>
  </si>
  <si>
    <t>現在の生活圏から交通の便がよい</t>
    <rPh sb="0" eb="2">
      <t>ゲンザイ</t>
    </rPh>
    <rPh sb="3" eb="6">
      <t>セイカツケン</t>
    </rPh>
    <rPh sb="8" eb="10">
      <t>コウツウ</t>
    </rPh>
    <rPh sb="11" eb="12">
      <t>ベン</t>
    </rPh>
    <phoneticPr fontId="7"/>
  </si>
  <si>
    <t>定年退職後である</t>
    <rPh sb="0" eb="2">
      <t>テイネン</t>
    </rPh>
    <rPh sb="2" eb="5">
      <t>タイショクゴ</t>
    </rPh>
    <phoneticPr fontId="7"/>
  </si>
  <si>
    <t>配偶者が就業できる</t>
    <rPh sb="0" eb="3">
      <t>ハイグウシャ</t>
    </rPh>
    <rPh sb="4" eb="6">
      <t>シュウギョウ</t>
    </rPh>
    <phoneticPr fontId="7"/>
  </si>
  <si>
    <t>商業・娯楽施設が充実している</t>
    <rPh sb="0" eb="2">
      <t>ショウギョウ</t>
    </rPh>
    <rPh sb="3" eb="5">
      <t>ゴラク</t>
    </rPh>
    <rPh sb="5" eb="7">
      <t>シセツ</t>
    </rPh>
    <rPh sb="8" eb="10">
      <t>ジュウジツ</t>
    </rPh>
    <phoneticPr fontId="7"/>
  </si>
  <si>
    <t>現在の生活圏から距離が近い</t>
    <rPh sb="0" eb="2">
      <t>ゲンザイ</t>
    </rPh>
    <rPh sb="3" eb="6">
      <t>セイカツケン</t>
    </rPh>
    <rPh sb="8" eb="10">
      <t>キョリ</t>
    </rPh>
    <rPh sb="11" eb="12">
      <t>チカ</t>
    </rPh>
    <phoneticPr fontId="7"/>
  </si>
  <si>
    <t>問１４　困っていること、不安・不満</t>
    <rPh sb="0" eb="1">
      <t>ト</t>
    </rPh>
    <rPh sb="4" eb="5">
      <t>コマ</t>
    </rPh>
    <rPh sb="12" eb="14">
      <t>フアン</t>
    </rPh>
    <rPh sb="15" eb="17">
      <t>フマン</t>
    </rPh>
    <phoneticPr fontId="7"/>
  </si>
  <si>
    <t>出身地である（に近い）</t>
    <rPh sb="0" eb="3">
      <t>シュッシンチ</t>
    </rPh>
    <rPh sb="8" eb="9">
      <t>チカ</t>
    </rPh>
    <phoneticPr fontId="7"/>
  </si>
  <si>
    <t>事前に地域医療に従事する研修期間がある</t>
    <rPh sb="0" eb="2">
      <t>ジゼン</t>
    </rPh>
    <rPh sb="3" eb="5">
      <t>チイキ</t>
    </rPh>
    <rPh sb="5" eb="7">
      <t>イリョウ</t>
    </rPh>
    <rPh sb="8" eb="10">
      <t>ジュウジ</t>
    </rPh>
    <rPh sb="12" eb="14">
      <t>ケンシュウ</t>
    </rPh>
    <rPh sb="14" eb="16">
      <t>キカン</t>
    </rPh>
    <phoneticPr fontId="7"/>
  </si>
  <si>
    <t>　業務が多忙</t>
    <rPh sb="1" eb="3">
      <t>ギョウム</t>
    </rPh>
    <rPh sb="4" eb="6">
      <t>タボウ</t>
    </rPh>
    <phoneticPr fontId="1"/>
  </si>
  <si>
    <t>実家に近い</t>
    <rPh sb="0" eb="2">
      <t>ジッカ</t>
    </rPh>
    <rPh sb="3" eb="4">
      <t>チカ</t>
    </rPh>
    <phoneticPr fontId="7"/>
  </si>
  <si>
    <t>　働きがいや自分自身の将来展望</t>
    <rPh sb="1" eb="2">
      <t>ハタラ</t>
    </rPh>
    <rPh sb="6" eb="8">
      <t>ジブン</t>
    </rPh>
    <rPh sb="8" eb="10">
      <t>ジシン</t>
    </rPh>
    <rPh sb="11" eb="13">
      <t>ショウライ</t>
    </rPh>
    <rPh sb="13" eb="15">
      <t>テンボウ</t>
    </rPh>
    <phoneticPr fontId="1"/>
  </si>
  <si>
    <t>入院のない小規模の診療所である</t>
    <rPh sb="0" eb="2">
      <t>ニュウイン</t>
    </rPh>
    <rPh sb="5" eb="8">
      <t>ショウキボ</t>
    </rPh>
    <rPh sb="9" eb="12">
      <t>シンリョウジョ</t>
    </rPh>
    <phoneticPr fontId="7"/>
  </si>
  <si>
    <t>　給与・昇進などの人事待遇</t>
    <rPh sb="1" eb="3">
      <t>キュウヨ</t>
    </rPh>
    <rPh sb="4" eb="6">
      <t>ショウシン</t>
    </rPh>
    <rPh sb="9" eb="11">
      <t>ジンジ</t>
    </rPh>
    <rPh sb="11" eb="13">
      <t>タイグウ</t>
    </rPh>
    <phoneticPr fontId="1"/>
  </si>
  <si>
    <t>地域医療に従事した後に留学できる</t>
    <rPh sb="0" eb="2">
      <t>チイキ</t>
    </rPh>
    <rPh sb="2" eb="4">
      <t>イリョウ</t>
    </rPh>
    <rPh sb="5" eb="7">
      <t>ジュウジ</t>
    </rPh>
    <rPh sb="9" eb="10">
      <t>ノチ</t>
    </rPh>
    <rPh sb="11" eb="13">
      <t>リュウガク</t>
    </rPh>
    <phoneticPr fontId="7"/>
  </si>
  <si>
    <t>　スキルアップ・専門性の強化</t>
    <rPh sb="8" eb="11">
      <t>センモンセイ</t>
    </rPh>
    <rPh sb="12" eb="14">
      <t>キョウカ</t>
    </rPh>
    <phoneticPr fontId="1"/>
  </si>
  <si>
    <t>　ができない</t>
    <phoneticPr fontId="1"/>
  </si>
  <si>
    <t>　勤務先の経営状態</t>
    <rPh sb="1" eb="4">
      <t>キンムサキ</t>
    </rPh>
    <rPh sb="5" eb="7">
      <t>ケイエイ</t>
    </rPh>
    <rPh sb="7" eb="9">
      <t>ジョウタイ</t>
    </rPh>
    <phoneticPr fontId="1"/>
  </si>
  <si>
    <t>問１７の回答数（その他以外）</t>
    <rPh sb="0" eb="1">
      <t>トイ</t>
    </rPh>
    <rPh sb="4" eb="7">
      <t>カイトウスウ</t>
    </rPh>
    <rPh sb="10" eb="11">
      <t>タ</t>
    </rPh>
    <rPh sb="11" eb="13">
      <t>イガイ</t>
    </rPh>
    <phoneticPr fontId="7"/>
  </si>
  <si>
    <t>　（経営不安定など）</t>
    <rPh sb="2" eb="4">
      <t>ケイエイ</t>
    </rPh>
    <rPh sb="4" eb="7">
      <t>フアンテイ</t>
    </rPh>
    <phoneticPr fontId="1"/>
  </si>
  <si>
    <t>　勤務時間の長さ</t>
    <rPh sb="1" eb="3">
      <t>キンム</t>
    </rPh>
    <rPh sb="3" eb="5">
      <t>ジカン</t>
    </rPh>
    <rPh sb="6" eb="7">
      <t>ナガ</t>
    </rPh>
    <phoneticPr fontId="1"/>
  </si>
  <si>
    <t>問1８</t>
    <rPh sb="0" eb="1">
      <t>ト</t>
    </rPh>
    <phoneticPr fontId="7"/>
  </si>
  <si>
    <t>医師不足の要因（主な要因）（自由記載）</t>
    <rPh sb="0" eb="2">
      <t>イシ</t>
    </rPh>
    <rPh sb="2" eb="4">
      <t>ブソク</t>
    </rPh>
    <rPh sb="5" eb="7">
      <t>ヨウイン</t>
    </rPh>
    <rPh sb="8" eb="9">
      <t>オモ</t>
    </rPh>
    <rPh sb="10" eb="12">
      <t>ヨウイン</t>
    </rPh>
    <rPh sb="14" eb="16">
      <t>ジユウ</t>
    </rPh>
    <rPh sb="16" eb="18">
      <t>キサイ</t>
    </rPh>
    <phoneticPr fontId="7"/>
  </si>
  <si>
    <t>　病院の施設・設備など、職場</t>
    <rPh sb="1" eb="3">
      <t>ビョウイン</t>
    </rPh>
    <rPh sb="4" eb="6">
      <t>シセツ</t>
    </rPh>
    <rPh sb="7" eb="9">
      <t>セツビ</t>
    </rPh>
    <rPh sb="12" eb="14">
      <t>ショクバ</t>
    </rPh>
    <phoneticPr fontId="1"/>
  </si>
  <si>
    <t>　環境が不十分</t>
    <rPh sb="1" eb="3">
      <t>カンキョウ</t>
    </rPh>
    <rPh sb="4" eb="7">
      <t>フジュウブン</t>
    </rPh>
    <phoneticPr fontId="1"/>
  </si>
  <si>
    <t>　院内での人間関係</t>
    <rPh sb="1" eb="3">
      <t>インナイ</t>
    </rPh>
    <rPh sb="5" eb="7">
      <t>ニンゲン</t>
    </rPh>
    <rPh sb="7" eb="9">
      <t>カンケイ</t>
    </rPh>
    <phoneticPr fontId="1"/>
  </si>
  <si>
    <t>業務多忙、日直・当直が多い等の勤務環境</t>
    <rPh sb="0" eb="2">
      <t>ギョウム</t>
    </rPh>
    <rPh sb="2" eb="4">
      <t>タボウ</t>
    </rPh>
    <rPh sb="5" eb="7">
      <t>ニッチョク</t>
    </rPh>
    <rPh sb="8" eb="10">
      <t>トウチョク</t>
    </rPh>
    <rPh sb="11" eb="12">
      <t>オオ</t>
    </rPh>
    <rPh sb="13" eb="14">
      <t>トウ</t>
    </rPh>
    <rPh sb="15" eb="17">
      <t>キンム</t>
    </rPh>
    <rPh sb="17" eb="19">
      <t>カンキョウ</t>
    </rPh>
    <phoneticPr fontId="7"/>
  </si>
  <si>
    <t>　院内暴力・訴訟など職業に</t>
    <rPh sb="1" eb="3">
      <t>インナイ</t>
    </rPh>
    <rPh sb="3" eb="5">
      <t>ボウリョク</t>
    </rPh>
    <rPh sb="6" eb="8">
      <t>ソショウ</t>
    </rPh>
    <rPh sb="10" eb="12">
      <t>ショクギョウ</t>
    </rPh>
    <phoneticPr fontId="1"/>
  </si>
  <si>
    <t>医師の都会志向</t>
    <rPh sb="0" eb="2">
      <t>イシ</t>
    </rPh>
    <rPh sb="3" eb="5">
      <t>トカイ</t>
    </rPh>
    <rPh sb="5" eb="7">
      <t>シコウ</t>
    </rPh>
    <phoneticPr fontId="7"/>
  </si>
  <si>
    <t>　起因する不安</t>
    <rPh sb="1" eb="3">
      <t>キイン</t>
    </rPh>
    <rPh sb="5" eb="7">
      <t>フアン</t>
    </rPh>
    <phoneticPr fontId="1"/>
  </si>
  <si>
    <t>　患者との信頼関係の破綻など</t>
    <rPh sb="1" eb="3">
      <t>カンジャ</t>
    </rPh>
    <rPh sb="5" eb="7">
      <t>シンライ</t>
    </rPh>
    <rPh sb="7" eb="9">
      <t>カンケイ</t>
    </rPh>
    <rPh sb="10" eb="12">
      <t>ハタン</t>
    </rPh>
    <phoneticPr fontId="1"/>
  </si>
  <si>
    <t>臨床研修制度の導入</t>
    <rPh sb="0" eb="2">
      <t>リンショウ</t>
    </rPh>
    <rPh sb="2" eb="4">
      <t>ケンシュウ</t>
    </rPh>
    <rPh sb="4" eb="6">
      <t>セイド</t>
    </rPh>
    <rPh sb="7" eb="9">
      <t>ドウニュウ</t>
    </rPh>
    <phoneticPr fontId="7"/>
  </si>
  <si>
    <t>　やりがいがない</t>
    <phoneticPr fontId="1"/>
  </si>
  <si>
    <t>医局の弱体化</t>
    <rPh sb="0" eb="2">
      <t>イキョク</t>
    </rPh>
    <rPh sb="3" eb="6">
      <t>ジャクタイカ</t>
    </rPh>
    <phoneticPr fontId="7"/>
  </si>
  <si>
    <t>医療行政の問題</t>
    <rPh sb="0" eb="2">
      <t>イリョウ</t>
    </rPh>
    <rPh sb="2" eb="4">
      <t>ギョウセイ</t>
    </rPh>
    <rPh sb="5" eb="7">
      <t>モンダイ</t>
    </rPh>
    <phoneticPr fontId="7"/>
  </si>
  <si>
    <t>医師の勤務環境に対する地域の理解</t>
    <rPh sb="0" eb="2">
      <t>イシ</t>
    </rPh>
    <rPh sb="3" eb="5">
      <t>キンム</t>
    </rPh>
    <rPh sb="5" eb="7">
      <t>カンキョウ</t>
    </rPh>
    <rPh sb="8" eb="9">
      <t>タイ</t>
    </rPh>
    <rPh sb="11" eb="13">
      <t>チイキ</t>
    </rPh>
    <rPh sb="14" eb="16">
      <t>リカイ</t>
    </rPh>
    <phoneticPr fontId="7"/>
  </si>
  <si>
    <t>問１６　医師不足地域に勤務する場合の条件　①家族や地域等に関すること</t>
    <rPh sb="0" eb="1">
      <t>ト</t>
    </rPh>
    <rPh sb="4" eb="6">
      <t>イシ</t>
    </rPh>
    <rPh sb="6" eb="8">
      <t>フソク</t>
    </rPh>
    <rPh sb="8" eb="10">
      <t>チイキ</t>
    </rPh>
    <rPh sb="11" eb="13">
      <t>キンム</t>
    </rPh>
    <rPh sb="15" eb="17">
      <t>バアイ</t>
    </rPh>
    <rPh sb="18" eb="20">
      <t>ジョウケン</t>
    </rPh>
    <rPh sb="22" eb="24">
      <t>カゾク</t>
    </rPh>
    <rPh sb="25" eb="27">
      <t>チイキ</t>
    </rPh>
    <rPh sb="27" eb="28">
      <t>トウ</t>
    </rPh>
    <rPh sb="29" eb="30">
      <t>カン</t>
    </rPh>
    <phoneticPr fontId="7"/>
  </si>
  <si>
    <t>子どもの教育など家族の問題</t>
    <rPh sb="0" eb="1">
      <t>コ</t>
    </rPh>
    <rPh sb="4" eb="6">
      <t>キョウイク</t>
    </rPh>
    <rPh sb="8" eb="10">
      <t>カゾク</t>
    </rPh>
    <rPh sb="11" eb="13">
      <t>モンダイ</t>
    </rPh>
    <phoneticPr fontId="7"/>
  </si>
  <si>
    <t>診療科の偏在</t>
    <rPh sb="0" eb="3">
      <t>シンリョウカ</t>
    </rPh>
    <rPh sb="4" eb="6">
      <t>ヘンザイ</t>
    </rPh>
    <phoneticPr fontId="7"/>
  </si>
  <si>
    <t>－</t>
  </si>
  <si>
    <t>　家族の同意があること</t>
    <rPh sb="1" eb="3">
      <t>カゾク</t>
    </rPh>
    <rPh sb="4" eb="6">
      <t>ドウイ</t>
    </rPh>
    <phoneticPr fontId="1"/>
  </si>
  <si>
    <t>専門医志向による都市部勤務</t>
    <rPh sb="0" eb="3">
      <t>センモンイ</t>
    </rPh>
    <rPh sb="3" eb="5">
      <t>シコウ</t>
    </rPh>
    <rPh sb="8" eb="11">
      <t>トシブ</t>
    </rPh>
    <rPh sb="11" eb="13">
      <t>キンム</t>
    </rPh>
    <phoneticPr fontId="7"/>
  </si>
  <si>
    <t>　あること</t>
    <phoneticPr fontId="1"/>
  </si>
  <si>
    <t>女性医師の増加</t>
    <rPh sb="0" eb="2">
      <t>ジョセイ</t>
    </rPh>
    <rPh sb="2" eb="4">
      <t>イシ</t>
    </rPh>
    <rPh sb="5" eb="7">
      <t>ゾウカ</t>
    </rPh>
    <phoneticPr fontId="7"/>
  </si>
  <si>
    <t>　出身地であること</t>
    <rPh sb="1" eb="4">
      <t>シュッシンチ</t>
    </rPh>
    <phoneticPr fontId="7"/>
  </si>
  <si>
    <t>　（又は近いこと）</t>
    <rPh sb="2" eb="3">
      <t>マタ</t>
    </rPh>
    <rPh sb="4" eb="5">
      <t>チカ</t>
    </rPh>
    <phoneticPr fontId="1"/>
  </si>
  <si>
    <t>医師の絶対数の不足</t>
    <rPh sb="0" eb="2">
      <t>イシ</t>
    </rPh>
    <rPh sb="3" eb="6">
      <t>ゼッタイスウ</t>
    </rPh>
    <rPh sb="7" eb="9">
      <t>フソク</t>
    </rPh>
    <phoneticPr fontId="7"/>
  </si>
  <si>
    <t>　整備されていること</t>
    <rPh sb="1" eb="3">
      <t>セイビ</t>
    </rPh>
    <phoneticPr fontId="1"/>
  </si>
  <si>
    <t>コンビニ受診への対応</t>
    <rPh sb="4" eb="6">
      <t>ジュシン</t>
    </rPh>
    <rPh sb="8" eb="10">
      <t>タイオウ</t>
    </rPh>
    <phoneticPr fontId="7"/>
  </si>
  <si>
    <t>　商業・娯楽施設が充実して</t>
    <rPh sb="1" eb="3">
      <t>ショウギョウ</t>
    </rPh>
    <rPh sb="4" eb="6">
      <t>ゴラク</t>
    </rPh>
    <rPh sb="6" eb="8">
      <t>シセツ</t>
    </rPh>
    <rPh sb="9" eb="11">
      <t>ジュウジツ</t>
    </rPh>
    <phoneticPr fontId="1"/>
  </si>
  <si>
    <t>　いること</t>
    <phoneticPr fontId="1"/>
  </si>
  <si>
    <t>　現在の生活圏から交通の便</t>
    <rPh sb="1" eb="3">
      <t>ゲンザイ</t>
    </rPh>
    <rPh sb="4" eb="6">
      <t>セイカツ</t>
    </rPh>
    <rPh sb="6" eb="7">
      <t>ケン</t>
    </rPh>
    <rPh sb="9" eb="11">
      <t>コウツウ</t>
    </rPh>
    <rPh sb="12" eb="13">
      <t>ベン</t>
    </rPh>
    <phoneticPr fontId="1"/>
  </si>
  <si>
    <t>問１８の回答数</t>
    <rPh sb="0" eb="1">
      <t>トイ</t>
    </rPh>
    <rPh sb="4" eb="7">
      <t>カイトウスウ</t>
    </rPh>
    <phoneticPr fontId="7"/>
  </si>
  <si>
    <t>　が良く距離が近いこと</t>
    <rPh sb="2" eb="3">
      <t>ヨ</t>
    </rPh>
    <rPh sb="4" eb="6">
      <t>キョリ</t>
    </rPh>
    <rPh sb="7" eb="8">
      <t>チカ</t>
    </rPh>
    <phoneticPr fontId="1"/>
  </si>
  <si>
    <t>その他の意見</t>
    <rPh sb="2" eb="3">
      <t>タ</t>
    </rPh>
    <rPh sb="4" eb="6">
      <t>イケン</t>
    </rPh>
    <phoneticPr fontId="7"/>
  </si>
  <si>
    <t>・</t>
    <phoneticPr fontId="7"/>
  </si>
  <si>
    <t>病院が多すぎる、開業医が多すぎる</t>
    <rPh sb="0" eb="2">
      <t>ビョウイン</t>
    </rPh>
    <rPh sb="3" eb="4">
      <t>オオ</t>
    </rPh>
    <rPh sb="8" eb="11">
      <t>カイギョウイ</t>
    </rPh>
    <rPh sb="12" eb="13">
      <t>オオ</t>
    </rPh>
    <phoneticPr fontId="7"/>
  </si>
  <si>
    <t>医師のわがまま、医師の自覚の欠如</t>
    <rPh sb="0" eb="2">
      <t>イシ</t>
    </rPh>
    <rPh sb="8" eb="10">
      <t>イシ</t>
    </rPh>
    <rPh sb="11" eb="13">
      <t>ジカク</t>
    </rPh>
    <rPh sb="14" eb="16">
      <t>ケツジョ</t>
    </rPh>
    <phoneticPr fontId="7"/>
  </si>
  <si>
    <t>地域医療に魅力がない、メリットがない</t>
    <rPh sb="0" eb="2">
      <t>チイキ</t>
    </rPh>
    <rPh sb="2" eb="4">
      <t>イリョウ</t>
    </rPh>
    <rPh sb="5" eb="7">
      <t>ミリョク</t>
    </rPh>
    <phoneticPr fontId="7"/>
  </si>
  <si>
    <t>医師の責任に任せすぎ、甘えすぎ</t>
    <rPh sb="0" eb="2">
      <t>イシ</t>
    </rPh>
    <rPh sb="3" eb="5">
      <t>セキニン</t>
    </rPh>
    <rPh sb="6" eb="7">
      <t>マカ</t>
    </rPh>
    <rPh sb="11" eb="12">
      <t>アマ</t>
    </rPh>
    <phoneticPr fontId="7"/>
  </si>
  <si>
    <t>問１６　医師不足地域に勤務する場合の条件　②医療機関等に関すること</t>
    <rPh sb="0" eb="1">
      <t>ト</t>
    </rPh>
    <rPh sb="4" eb="6">
      <t>イシ</t>
    </rPh>
    <rPh sb="6" eb="8">
      <t>フソク</t>
    </rPh>
    <rPh sb="8" eb="10">
      <t>チイキ</t>
    </rPh>
    <rPh sb="11" eb="13">
      <t>キンム</t>
    </rPh>
    <rPh sb="15" eb="17">
      <t>バアイ</t>
    </rPh>
    <rPh sb="18" eb="20">
      <t>ジョウケン</t>
    </rPh>
    <rPh sb="22" eb="24">
      <t>イリョウ</t>
    </rPh>
    <rPh sb="24" eb="26">
      <t>キカン</t>
    </rPh>
    <rPh sb="26" eb="27">
      <t>トウ</t>
    </rPh>
    <rPh sb="28" eb="29">
      <t>カン</t>
    </rPh>
    <phoneticPr fontId="7"/>
  </si>
  <si>
    <t>問1９</t>
    <rPh sb="0" eb="1">
      <t>ト</t>
    </rPh>
    <phoneticPr fontId="7"/>
  </si>
  <si>
    <t>地域勤務をしてよかったこと（主な意見）（自由記載）</t>
    <rPh sb="0" eb="2">
      <t>チイキ</t>
    </rPh>
    <rPh sb="2" eb="4">
      <t>キンム</t>
    </rPh>
    <rPh sb="14" eb="15">
      <t>オモ</t>
    </rPh>
    <rPh sb="16" eb="18">
      <t>イケン</t>
    </rPh>
    <rPh sb="20" eb="22">
      <t>ジユウ</t>
    </rPh>
    <rPh sb="22" eb="24">
      <t>キサイ</t>
    </rPh>
    <phoneticPr fontId="7"/>
  </si>
  <si>
    <t>　自分と交代できる医師がいる</t>
    <rPh sb="1" eb="3">
      <t>ジブン</t>
    </rPh>
    <rPh sb="4" eb="6">
      <t>コウタイ</t>
    </rPh>
    <rPh sb="9" eb="11">
      <t>イシ</t>
    </rPh>
    <phoneticPr fontId="1"/>
  </si>
  <si>
    <t>幅広く症例を経験</t>
    <rPh sb="0" eb="2">
      <t>ハバヒロ</t>
    </rPh>
    <rPh sb="3" eb="5">
      <t>ショウレイ</t>
    </rPh>
    <rPh sb="6" eb="8">
      <t>ケイケン</t>
    </rPh>
    <phoneticPr fontId="7"/>
  </si>
  <si>
    <t>　こと</t>
    <phoneticPr fontId="1"/>
  </si>
  <si>
    <t>　病院の施設・設備が整ってい</t>
    <rPh sb="1" eb="3">
      <t>ビョウイン</t>
    </rPh>
    <rPh sb="4" eb="6">
      <t>シセツ</t>
    </rPh>
    <rPh sb="7" eb="9">
      <t>セツビ</t>
    </rPh>
    <rPh sb="10" eb="11">
      <t>トトノ</t>
    </rPh>
    <phoneticPr fontId="1"/>
  </si>
  <si>
    <t>患者、住民から必要とされる充実感</t>
    <rPh sb="0" eb="2">
      <t>カンジャ</t>
    </rPh>
    <rPh sb="3" eb="5">
      <t>ジュウミン</t>
    </rPh>
    <rPh sb="7" eb="9">
      <t>ヒツヨウ</t>
    </rPh>
    <rPh sb="13" eb="16">
      <t>ジュウジツカン</t>
    </rPh>
    <phoneticPr fontId="7"/>
  </si>
  <si>
    <t>　ること</t>
    <phoneticPr fontId="1"/>
  </si>
  <si>
    <t>　入院のない小規模の診療所</t>
    <rPh sb="1" eb="3">
      <t>ニュウイン</t>
    </rPh>
    <rPh sb="6" eb="9">
      <t>ショウキボ</t>
    </rPh>
    <rPh sb="10" eb="13">
      <t>シンリョウジョ</t>
    </rPh>
    <phoneticPr fontId="7"/>
  </si>
  <si>
    <t>患者との距離が近い</t>
    <rPh sb="0" eb="2">
      <t>カンジャ</t>
    </rPh>
    <rPh sb="4" eb="6">
      <t>キョリ</t>
    </rPh>
    <rPh sb="7" eb="8">
      <t>チカ</t>
    </rPh>
    <phoneticPr fontId="7"/>
  </si>
  <si>
    <t>　であること</t>
    <phoneticPr fontId="1"/>
  </si>
  <si>
    <t>　他病院とのネットワーク・連携</t>
    <rPh sb="1" eb="2">
      <t>タ</t>
    </rPh>
    <rPh sb="2" eb="4">
      <t>ビョウイン</t>
    </rPh>
    <rPh sb="13" eb="15">
      <t>レンケイ</t>
    </rPh>
    <phoneticPr fontId="7"/>
  </si>
  <si>
    <t>裁量権、自分の判断による診療</t>
    <rPh sb="0" eb="3">
      <t>サイリョウケン</t>
    </rPh>
    <rPh sb="4" eb="6">
      <t>ジブン</t>
    </rPh>
    <rPh sb="7" eb="9">
      <t>ハンダン</t>
    </rPh>
    <rPh sb="12" eb="14">
      <t>シンリョウ</t>
    </rPh>
    <phoneticPr fontId="7"/>
  </si>
  <si>
    <t>　があること</t>
    <phoneticPr fontId="1"/>
  </si>
  <si>
    <t>　地域の中核病院であること</t>
    <rPh sb="1" eb="3">
      <t>チイキ</t>
    </rPh>
    <rPh sb="4" eb="6">
      <t>チュウカク</t>
    </rPh>
    <rPh sb="6" eb="8">
      <t>ビョウイン</t>
    </rPh>
    <phoneticPr fontId="1"/>
  </si>
  <si>
    <t>地域交流</t>
    <rPh sb="0" eb="2">
      <t>チイキ</t>
    </rPh>
    <rPh sb="2" eb="4">
      <t>コウリュウ</t>
    </rPh>
    <phoneticPr fontId="7"/>
  </si>
  <si>
    <t>自然が豊か</t>
    <rPh sb="0" eb="2">
      <t>シゼン</t>
    </rPh>
    <rPh sb="3" eb="4">
      <t>ユタ</t>
    </rPh>
    <phoneticPr fontId="7"/>
  </si>
  <si>
    <t>子どもの成長を実感</t>
    <rPh sb="0" eb="1">
      <t>コ</t>
    </rPh>
    <rPh sb="4" eb="6">
      <t>セイチョウ</t>
    </rPh>
    <rPh sb="7" eb="9">
      <t>ジッカン</t>
    </rPh>
    <phoneticPr fontId="7"/>
  </si>
  <si>
    <t>問１６　医師不足地域に勤務する場合の条件　③勤務環境・条件等に関すること</t>
    <rPh sb="0" eb="1">
      <t>ト</t>
    </rPh>
    <rPh sb="4" eb="6">
      <t>イシ</t>
    </rPh>
    <rPh sb="6" eb="8">
      <t>フソク</t>
    </rPh>
    <rPh sb="8" eb="10">
      <t>チイキ</t>
    </rPh>
    <rPh sb="11" eb="13">
      <t>キンム</t>
    </rPh>
    <rPh sb="15" eb="17">
      <t>バアイ</t>
    </rPh>
    <rPh sb="18" eb="20">
      <t>ジョウケン</t>
    </rPh>
    <rPh sb="22" eb="24">
      <t>キンム</t>
    </rPh>
    <rPh sb="24" eb="26">
      <t>カンキョウ</t>
    </rPh>
    <rPh sb="27" eb="29">
      <t>ジョウケン</t>
    </rPh>
    <rPh sb="29" eb="30">
      <t>トウ</t>
    </rPh>
    <rPh sb="31" eb="32">
      <t>カン</t>
    </rPh>
    <phoneticPr fontId="7"/>
  </si>
  <si>
    <t>問１９の回答数</t>
    <rPh sb="0" eb="1">
      <t>トイ</t>
    </rPh>
    <rPh sb="4" eb="7">
      <t>カイトウスウ</t>
    </rPh>
    <phoneticPr fontId="7"/>
  </si>
  <si>
    <t>　給与や手当が良いこと</t>
    <rPh sb="1" eb="3">
      <t>キュウヨ</t>
    </rPh>
    <rPh sb="4" eb="6">
      <t>テアテ</t>
    </rPh>
    <rPh sb="7" eb="8">
      <t>ヨ</t>
    </rPh>
    <phoneticPr fontId="1"/>
  </si>
  <si>
    <t>他科医師やスタッフとのコミュニケーションがとれる</t>
    <rPh sb="0" eb="2">
      <t>タカ</t>
    </rPh>
    <rPh sb="2" eb="4">
      <t>イシ</t>
    </rPh>
    <phoneticPr fontId="7"/>
  </si>
  <si>
    <t>　居住環境が整備されていること</t>
    <rPh sb="1" eb="3">
      <t>キョジュウ</t>
    </rPh>
    <rPh sb="3" eb="5">
      <t>カンキョウ</t>
    </rPh>
    <rPh sb="6" eb="8">
      <t>セイビ</t>
    </rPh>
    <phoneticPr fontId="1"/>
  </si>
  <si>
    <t>生活、時間にゆとりができた</t>
    <rPh sb="0" eb="2">
      <t>セイカツ</t>
    </rPh>
    <rPh sb="3" eb="5">
      <t>ジカン</t>
    </rPh>
    <phoneticPr fontId="7"/>
  </si>
  <si>
    <t>あまりない、まったくない</t>
    <phoneticPr fontId="7"/>
  </si>
  <si>
    <t>　医師の勤務環境に対して</t>
    <rPh sb="1" eb="3">
      <t>イシ</t>
    </rPh>
    <rPh sb="4" eb="6">
      <t>キンム</t>
    </rPh>
    <rPh sb="6" eb="8">
      <t>カンキョウ</t>
    </rPh>
    <rPh sb="9" eb="10">
      <t>タイ</t>
    </rPh>
    <phoneticPr fontId="1"/>
  </si>
  <si>
    <t>　地域の理解があること</t>
    <rPh sb="1" eb="3">
      <t>チイキ</t>
    </rPh>
    <rPh sb="4" eb="6">
      <t>リカイ</t>
    </rPh>
    <phoneticPr fontId="1"/>
  </si>
  <si>
    <t>　専門医取得後であること</t>
    <rPh sb="1" eb="3">
      <t>センモン</t>
    </rPh>
    <rPh sb="3" eb="4">
      <t>イ</t>
    </rPh>
    <rPh sb="4" eb="7">
      <t>シュトクゴ</t>
    </rPh>
    <phoneticPr fontId="1"/>
  </si>
  <si>
    <t>　定年退職後であること</t>
    <rPh sb="1" eb="3">
      <t>テイネン</t>
    </rPh>
    <rPh sb="3" eb="6">
      <t>タイショクゴ</t>
    </rPh>
    <phoneticPr fontId="1"/>
  </si>
  <si>
    <t>　一定の期間限定であること</t>
    <rPh sb="1" eb="3">
      <t>イッテイ</t>
    </rPh>
    <rPh sb="4" eb="6">
      <t>キカン</t>
    </rPh>
    <rPh sb="6" eb="8">
      <t>ゲンテイ</t>
    </rPh>
    <phoneticPr fontId="1"/>
  </si>
  <si>
    <t>問１７　これまでの勤務経験の中で「地域勤務を経験してよかった」と感じたこと</t>
    <rPh sb="0" eb="1">
      <t>ト</t>
    </rPh>
    <rPh sb="9" eb="11">
      <t>キンム</t>
    </rPh>
    <rPh sb="11" eb="13">
      <t>ケイケン</t>
    </rPh>
    <rPh sb="14" eb="15">
      <t>ナカ</t>
    </rPh>
    <rPh sb="17" eb="19">
      <t>チイキ</t>
    </rPh>
    <rPh sb="19" eb="21">
      <t>キンム</t>
    </rPh>
    <rPh sb="22" eb="24">
      <t>ケイケン</t>
    </rPh>
    <rPh sb="32" eb="33">
      <t>カン</t>
    </rPh>
    <phoneticPr fontId="7"/>
  </si>
  <si>
    <t>　幅広く症例を経験できた</t>
    <rPh sb="1" eb="3">
      <t>ハバヒロ</t>
    </rPh>
    <rPh sb="4" eb="6">
      <t>ショウレイ</t>
    </rPh>
    <rPh sb="7" eb="9">
      <t>ケイケン</t>
    </rPh>
    <phoneticPr fontId="1"/>
  </si>
  <si>
    <t>　患者、住民から必要とされる</t>
    <rPh sb="1" eb="3">
      <t>カンジャ</t>
    </rPh>
    <rPh sb="4" eb="6">
      <t>ジュウミン</t>
    </rPh>
    <rPh sb="8" eb="10">
      <t>ヒツヨウ</t>
    </rPh>
    <phoneticPr fontId="1"/>
  </si>
  <si>
    <t>　充実感がある</t>
    <rPh sb="1" eb="4">
      <t>ジュウジツカン</t>
    </rPh>
    <phoneticPr fontId="1"/>
  </si>
  <si>
    <t>　患者との距離が近い</t>
    <rPh sb="1" eb="3">
      <t>カンジャ</t>
    </rPh>
    <rPh sb="5" eb="7">
      <t>キョリ</t>
    </rPh>
    <rPh sb="8" eb="9">
      <t>チカ</t>
    </rPh>
    <phoneticPr fontId="1"/>
  </si>
  <si>
    <t>　自分の判断による診療が可能</t>
    <rPh sb="1" eb="3">
      <t>ジブン</t>
    </rPh>
    <rPh sb="4" eb="6">
      <t>ハンダン</t>
    </rPh>
    <rPh sb="9" eb="11">
      <t>シンリョウ</t>
    </rPh>
    <rPh sb="12" eb="14">
      <t>カノウ</t>
    </rPh>
    <phoneticPr fontId="1"/>
  </si>
  <si>
    <t>　地域（住民）からの支援や理解</t>
    <rPh sb="1" eb="3">
      <t>チイキ</t>
    </rPh>
    <rPh sb="4" eb="6">
      <t>ジュウミン</t>
    </rPh>
    <rPh sb="10" eb="12">
      <t>シエン</t>
    </rPh>
    <rPh sb="13" eb="15">
      <t>リカイ</t>
    </rPh>
    <phoneticPr fontId="1"/>
  </si>
  <si>
    <t>　がある</t>
    <phoneticPr fontId="1"/>
  </si>
  <si>
    <t>　給与が良い</t>
    <rPh sb="1" eb="3">
      <t>キュウヨ</t>
    </rPh>
    <rPh sb="4" eb="5">
      <t>ヨ</t>
    </rPh>
    <phoneticPr fontId="1"/>
  </si>
  <si>
    <t>　環境が良い（地域、自然、子ど</t>
    <rPh sb="1" eb="3">
      <t>カンキョウ</t>
    </rPh>
    <rPh sb="4" eb="5">
      <t>ヨ</t>
    </rPh>
    <rPh sb="7" eb="9">
      <t>チイキ</t>
    </rPh>
    <rPh sb="10" eb="12">
      <t>シゼン</t>
    </rPh>
    <rPh sb="13" eb="14">
      <t>コ</t>
    </rPh>
    <phoneticPr fontId="1"/>
  </si>
  <si>
    <t>　もの成長等）</t>
    <rPh sb="3" eb="6">
      <t>セイチョウナド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</si>
</sst>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9" formatCode="\(0.0%\)"/>
    <numFmt numFmtId="180" formatCode="#,##0_ "/>
    <numFmt numFmtId="181" formatCode="\(0%\)"/>
    <numFmt numFmtId="182" formatCode="0.0%"/>
    <numFmt numFmtId="183" formatCode="\(0.000%\)"/>
    <numFmt numFmtId="184" formatCode="#,##0.0_ "/>
    <numFmt numFmtId="185" formatCode="0_ "/>
  </numFmts>
  <fonts count="20" x14ac:knownFonts="1">
    <font>
      <sz val="11"/>
      <color theme="1"/>
      <name val="ＭＳ Ｐゴシック"/>
      <family val="2"/>
      <charset val="128"/>
      <scheme val="minor"/>
    </font>
    <font>
      <sz val="6"/>
      <name val="ＭＳ Ｐゴシック"/>
      <family val="2"/>
      <charset val="128"/>
      <scheme val="minor"/>
    </font>
    <font>
      <sz val="9"/>
      <color theme="1"/>
      <name val="HGｺﾞｼｯｸM"/>
      <family val="3"/>
      <charset val="128"/>
    </font>
    <font>
      <sz val="11"/>
      <color theme="1"/>
      <name val="HGｺﾞｼｯｸM"/>
      <family val="3"/>
      <charset val="128"/>
    </font>
    <font>
      <sz val="10"/>
      <color theme="1"/>
      <name val="HGｺﾞｼｯｸM"/>
      <family val="3"/>
      <charset val="128"/>
    </font>
    <font>
      <sz val="11"/>
      <color theme="1"/>
      <name val="ＭＳ Ｐゴシック"/>
      <family val="2"/>
      <charset val="128"/>
      <scheme val="minor"/>
    </font>
    <font>
      <b/>
      <u/>
      <sz val="16"/>
      <name val="HGｺﾞｼｯｸM"/>
      <family val="3"/>
      <charset val="128"/>
    </font>
    <font>
      <sz val="6"/>
      <name val="ＭＳ Ｐゴシック"/>
      <family val="3"/>
      <charset val="128"/>
    </font>
    <font>
      <b/>
      <sz val="11"/>
      <color theme="1"/>
      <name val="HGｺﾞｼｯｸM"/>
      <family val="3"/>
      <charset val="128"/>
    </font>
    <font>
      <sz val="11"/>
      <color rgb="FFFF0000"/>
      <name val="HGｺﾞｼｯｸM"/>
      <family val="3"/>
      <charset val="128"/>
    </font>
    <font>
      <sz val="11"/>
      <color indexed="10"/>
      <name val="HGｺﾞｼｯｸM"/>
      <family val="3"/>
      <charset val="128"/>
    </font>
    <font>
      <b/>
      <sz val="11"/>
      <color theme="0"/>
      <name val="HGｺﾞｼｯｸM"/>
      <family val="3"/>
      <charset val="128"/>
    </font>
    <font>
      <b/>
      <sz val="11"/>
      <color rgb="FFFF0000"/>
      <name val="HGｺﾞｼｯｸM"/>
      <family val="3"/>
      <charset val="128"/>
    </font>
    <font>
      <b/>
      <sz val="9"/>
      <color rgb="FFFF0000"/>
      <name val="HGｺﾞｼｯｸM"/>
      <family val="3"/>
      <charset val="128"/>
    </font>
    <font>
      <sz val="8"/>
      <color theme="1"/>
      <name val="HGｺﾞｼｯｸM"/>
      <family val="3"/>
      <charset val="128"/>
    </font>
    <font>
      <sz val="7"/>
      <color theme="1"/>
      <name val="HGｺﾞｼｯｸM"/>
      <family val="3"/>
      <charset val="128"/>
    </font>
    <font>
      <sz val="11"/>
      <name val="HGｺﾞｼｯｸM"/>
      <family val="3"/>
      <charset val="128"/>
    </font>
    <font>
      <sz val="10.5"/>
      <color theme="1"/>
      <name val="HGｺﾞｼｯｸM"/>
      <family val="3"/>
      <charset val="128"/>
    </font>
    <font>
      <b/>
      <sz val="11"/>
      <name val="HGｺﾞｼｯｸM"/>
      <family val="3"/>
      <charset val="128"/>
    </font>
    <font>
      <i/>
      <sz val="11"/>
      <color rgb="FFFF0000"/>
      <name val="HGｺﾞｼｯｸM"/>
      <family val="3"/>
      <charset val="128"/>
    </font>
  </fonts>
  <fills count="6">
    <fill>
      <patternFill patternType="none"/>
    </fill>
    <fill>
      <patternFill patternType="gray125"/>
    </fill>
    <fill>
      <patternFill patternType="solid">
        <fgColor theme="1"/>
        <bgColor indexed="64"/>
      </patternFill>
    </fill>
    <fill>
      <patternFill patternType="solid">
        <fgColor indexed="41"/>
        <bgColor indexed="64"/>
      </patternFill>
    </fill>
    <fill>
      <patternFill patternType="solid">
        <fgColor indexed="9"/>
        <bgColor indexed="64"/>
      </patternFill>
    </fill>
    <fill>
      <patternFill patternType="solid">
        <fgColor indexed="27"/>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thin">
        <color indexed="64"/>
      </left>
      <right style="hair">
        <color indexed="64"/>
      </right>
      <top/>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thin">
        <color indexed="64"/>
      </bottom>
      <diagonal/>
    </border>
    <border>
      <left style="hair">
        <color indexed="64"/>
      </left>
      <right style="thin">
        <color indexed="64"/>
      </right>
      <top/>
      <bottom style="medium">
        <color indexed="64"/>
      </bottom>
      <diagonal/>
    </border>
    <border>
      <left style="hair">
        <color indexed="64"/>
      </left>
      <right/>
      <top style="thin">
        <color indexed="64"/>
      </top>
      <bottom style="thin">
        <color indexed="64"/>
      </bottom>
      <diagonal/>
    </border>
    <border>
      <left/>
      <right style="thin">
        <color indexed="64"/>
      </right>
      <top/>
      <bottom/>
      <diagonal/>
    </border>
    <border>
      <left/>
      <right style="hair">
        <color indexed="64"/>
      </right>
      <top/>
      <bottom style="thin">
        <color indexed="64"/>
      </bottom>
      <diagonal/>
    </border>
    <border>
      <left style="thin">
        <color indexed="64"/>
      </left>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33">
    <xf numFmtId="0" fontId="0" fillId="0" borderId="0" xfId="0">
      <alignment vertical="center"/>
    </xf>
    <xf numFmtId="0" fontId="3" fillId="0" borderId="0" xfId="0" applyFont="1">
      <alignment vertical="center"/>
    </xf>
    <xf numFmtId="0" fontId="3" fillId="0" borderId="0" xfId="0" applyFont="1" applyFill="1">
      <alignment vertical="center"/>
    </xf>
    <xf numFmtId="0" fontId="6" fillId="0" borderId="0" xfId="0" applyFont="1" applyFill="1" applyAlignment="1">
      <alignment horizontal="center" vertical="center"/>
    </xf>
    <xf numFmtId="0" fontId="3" fillId="0" borderId="0" xfId="0" applyNumberFormat="1" applyFont="1">
      <alignment vertical="center"/>
    </xf>
    <xf numFmtId="0" fontId="3" fillId="0" borderId="0" xfId="0" applyFont="1" applyAlignment="1">
      <alignment horizontal="center"/>
    </xf>
    <xf numFmtId="0" fontId="3" fillId="0" borderId="0" xfId="0" applyFont="1" applyFill="1" applyAlignment="1">
      <alignment horizontal="right" vertical="center"/>
    </xf>
    <xf numFmtId="0" fontId="8" fillId="0" borderId="0" xfId="0" applyFont="1">
      <alignment vertical="center"/>
    </xf>
    <xf numFmtId="0" fontId="3" fillId="0" borderId="4" xfId="0" applyFont="1" applyFill="1" applyBorder="1" applyAlignment="1">
      <alignment horizontal="center" vertical="center"/>
    </xf>
    <xf numFmtId="0" fontId="3" fillId="0" borderId="0" xfId="0" applyNumberFormat="1" applyFont="1" applyFill="1" applyAlignment="1">
      <alignment horizontal="right" vertical="center"/>
    </xf>
    <xf numFmtId="0" fontId="8" fillId="0" borderId="0" xfId="0" applyFont="1" applyFill="1">
      <alignment vertical="center"/>
    </xf>
    <xf numFmtId="0" fontId="9" fillId="0" borderId="0" xfId="0" applyFont="1" applyFill="1">
      <alignment vertical="center"/>
    </xf>
    <xf numFmtId="0" fontId="3" fillId="0" borderId="0" xfId="0" applyFont="1" applyFill="1" applyAlignment="1">
      <alignment horizontal="center" vertical="center"/>
    </xf>
    <xf numFmtId="0" fontId="3" fillId="0" borderId="0" xfId="0" applyNumberFormat="1" applyFont="1" applyFill="1">
      <alignment vertical="center"/>
    </xf>
    <xf numFmtId="0" fontId="3" fillId="0" borderId="17" xfId="0" applyFont="1" applyFill="1" applyBorder="1" applyAlignment="1">
      <alignment horizontal="center" vertical="center"/>
    </xf>
    <xf numFmtId="179"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center" vertical="center" shrinkToFit="1"/>
    </xf>
    <xf numFmtId="38" fontId="3" fillId="0" borderId="20" xfId="1" applyFont="1" applyFill="1" applyBorder="1" applyAlignment="1">
      <alignment horizontal="right" vertical="center"/>
    </xf>
    <xf numFmtId="38" fontId="3" fillId="0" borderId="4" xfId="1" applyFont="1" applyFill="1" applyBorder="1" applyAlignment="1">
      <alignment horizontal="right" vertical="center"/>
    </xf>
    <xf numFmtId="38" fontId="3" fillId="0" borderId="18" xfId="1" applyFont="1" applyFill="1" applyBorder="1" applyAlignment="1">
      <alignment horizontal="right" vertical="center"/>
    </xf>
    <xf numFmtId="38" fontId="3" fillId="0" borderId="3" xfId="1" applyFont="1" applyFill="1" applyBorder="1" applyAlignment="1">
      <alignment horizontal="right" vertical="center"/>
    </xf>
    <xf numFmtId="0" fontId="3" fillId="0" borderId="4"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2" xfId="0" applyFont="1" applyFill="1" applyBorder="1" applyAlignment="1">
      <alignment horizontal="distributed" vertical="center"/>
    </xf>
    <xf numFmtId="38" fontId="3" fillId="0" borderId="23" xfId="1" applyFont="1" applyFill="1" applyBorder="1">
      <alignment vertical="center"/>
    </xf>
    <xf numFmtId="38" fontId="3" fillId="0" borderId="7" xfId="1" applyFont="1" applyFill="1" applyBorder="1">
      <alignment vertical="center"/>
    </xf>
    <xf numFmtId="38" fontId="3" fillId="0" borderId="22" xfId="1" applyFont="1" applyFill="1" applyBorder="1">
      <alignment vertical="center"/>
    </xf>
    <xf numFmtId="38" fontId="3" fillId="0" borderId="3" xfId="1" applyFont="1" applyFill="1" applyBorder="1">
      <alignment vertical="center"/>
    </xf>
    <xf numFmtId="38" fontId="3" fillId="0" borderId="4" xfId="1" applyFont="1" applyFill="1" applyBorder="1">
      <alignment vertical="center"/>
    </xf>
    <xf numFmtId="38" fontId="3" fillId="0" borderId="14" xfId="1" applyFont="1" applyFill="1" applyBorder="1">
      <alignment vertical="center"/>
    </xf>
    <xf numFmtId="0" fontId="3" fillId="0" borderId="18" xfId="0" applyFont="1" applyFill="1" applyBorder="1" applyAlignment="1">
      <alignment horizontal="distributed" vertical="center"/>
    </xf>
    <xf numFmtId="38" fontId="3" fillId="0" borderId="23"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4" xfId="1" applyFont="1" applyFill="1" applyBorder="1" applyAlignment="1">
      <alignment horizontal="center" vertical="center"/>
    </xf>
    <xf numFmtId="179" fontId="3" fillId="0" borderId="24" xfId="0" applyNumberFormat="1" applyFont="1" applyFill="1" applyBorder="1" applyAlignment="1">
      <alignment horizontal="right" vertical="center"/>
    </xf>
    <xf numFmtId="179" fontId="3" fillId="0" borderId="25" xfId="0" applyNumberFormat="1" applyFont="1" applyFill="1" applyBorder="1" applyAlignment="1">
      <alignment horizontal="right" vertical="center"/>
    </xf>
    <xf numFmtId="179" fontId="3" fillId="0" borderId="26" xfId="0" applyNumberFormat="1" applyFont="1" applyFill="1" applyBorder="1" applyAlignment="1">
      <alignment horizontal="right" vertical="center"/>
    </xf>
    <xf numFmtId="179" fontId="3" fillId="0" borderId="3"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3" fillId="0" borderId="0" xfId="0" applyNumberFormat="1" applyFont="1" applyFill="1" applyAlignment="1">
      <alignment horizontal="right" vertical="center"/>
    </xf>
    <xf numFmtId="0" fontId="10" fillId="0" borderId="0" xfId="0" applyFont="1" applyFill="1">
      <alignment vertical="center"/>
    </xf>
    <xf numFmtId="0" fontId="10" fillId="0" borderId="0" xfId="0" applyNumberFormat="1" applyFont="1" applyFill="1">
      <alignment vertical="center"/>
    </xf>
    <xf numFmtId="0" fontId="3" fillId="0" borderId="0" xfId="0" applyFont="1" applyFill="1" applyBorder="1" applyAlignment="1">
      <alignment vertical="center"/>
    </xf>
    <xf numFmtId="0" fontId="3" fillId="0" borderId="0" xfId="0" applyFont="1" applyFill="1" applyBorder="1" applyAlignment="1">
      <alignment horizontal="distributed" vertical="center"/>
    </xf>
    <xf numFmtId="179" fontId="3" fillId="0" borderId="0" xfId="0" applyNumberFormat="1" applyFont="1" applyFill="1" applyBorder="1" applyAlignment="1">
      <alignment horizontal="right" vertical="center"/>
    </xf>
    <xf numFmtId="179" fontId="3" fillId="0" borderId="0" xfId="0" applyNumberFormat="1" applyFont="1" applyFill="1">
      <alignment vertical="center"/>
    </xf>
    <xf numFmtId="0" fontId="3" fillId="0" borderId="0" xfId="0" applyFont="1" applyFill="1" applyBorder="1">
      <alignment vertical="center"/>
    </xf>
    <xf numFmtId="179" fontId="3" fillId="0" borderId="18" xfId="0" applyNumberFormat="1" applyFont="1" applyFill="1" applyBorder="1" applyAlignment="1">
      <alignment horizontal="center" vertical="center"/>
    </xf>
    <xf numFmtId="180" fontId="3" fillId="0" borderId="23" xfId="0" applyNumberFormat="1" applyFont="1" applyFill="1" applyBorder="1">
      <alignment vertical="center"/>
    </xf>
    <xf numFmtId="180" fontId="3" fillId="0" borderId="7" xfId="0" applyNumberFormat="1" applyFont="1" applyFill="1" applyBorder="1">
      <alignment vertical="center"/>
    </xf>
    <xf numFmtId="180" fontId="3" fillId="0" borderId="22" xfId="0" applyNumberFormat="1" applyFont="1" applyFill="1" applyBorder="1">
      <alignment vertical="center"/>
    </xf>
    <xf numFmtId="180" fontId="3" fillId="0" borderId="14" xfId="0" applyNumberFormat="1" applyFont="1" applyFill="1" applyBorder="1">
      <alignment vertical="center"/>
    </xf>
    <xf numFmtId="179" fontId="3" fillId="0" borderId="17" xfId="0" applyNumberFormat="1" applyFont="1" applyFill="1" applyBorder="1">
      <alignment vertical="center"/>
    </xf>
    <xf numFmtId="179" fontId="3" fillId="0" borderId="8" xfId="0" applyNumberFormat="1" applyFont="1" applyFill="1" applyBorder="1">
      <alignment vertical="center"/>
    </xf>
    <xf numFmtId="179" fontId="3" fillId="0" borderId="27" xfId="0" applyNumberFormat="1" applyFont="1" applyFill="1" applyBorder="1">
      <alignment vertical="center"/>
    </xf>
    <xf numFmtId="179" fontId="3" fillId="0" borderId="19" xfId="0" applyNumberFormat="1" applyFont="1" applyFill="1" applyBorder="1">
      <alignment vertical="center"/>
    </xf>
    <xf numFmtId="180" fontId="3" fillId="0" borderId="7" xfId="0" applyNumberFormat="1" applyFont="1" applyFill="1" applyBorder="1" applyAlignment="1">
      <alignment horizontal="right" vertical="center"/>
    </xf>
    <xf numFmtId="180" fontId="3" fillId="0" borderId="10" xfId="0" applyNumberFormat="1" applyFont="1" applyFill="1" applyBorder="1">
      <alignment vertical="center"/>
    </xf>
    <xf numFmtId="180" fontId="3" fillId="0" borderId="0" xfId="0" applyNumberFormat="1" applyFont="1" applyFill="1">
      <alignment vertical="center"/>
    </xf>
    <xf numFmtId="181" fontId="3" fillId="0" borderId="28" xfId="0" applyNumberFormat="1" applyFont="1" applyFill="1" applyBorder="1">
      <alignment vertical="center"/>
    </xf>
    <xf numFmtId="181" fontId="3" fillId="0" borderId="29" xfId="0" applyNumberFormat="1" applyFont="1" applyFill="1" applyBorder="1">
      <alignment vertical="center"/>
    </xf>
    <xf numFmtId="181" fontId="3" fillId="0" borderId="30" xfId="0" applyNumberFormat="1" applyFont="1" applyFill="1" applyBorder="1">
      <alignment vertical="center"/>
    </xf>
    <xf numFmtId="181" fontId="3" fillId="0" borderId="17" xfId="0" applyNumberFormat="1" applyFont="1" applyFill="1" applyBorder="1">
      <alignment vertical="center"/>
    </xf>
    <xf numFmtId="181" fontId="3" fillId="0" borderId="8" xfId="0" applyNumberFormat="1" applyFont="1" applyFill="1" applyBorder="1">
      <alignment vertical="center"/>
    </xf>
    <xf numFmtId="181" fontId="3" fillId="0" borderId="19" xfId="0" applyNumberFormat="1" applyFont="1" applyFill="1" applyBorder="1">
      <alignment vertical="center"/>
    </xf>
    <xf numFmtId="181" fontId="3" fillId="0" borderId="16" xfId="0" applyNumberFormat="1" applyFont="1" applyFill="1" applyBorder="1">
      <alignment vertical="center"/>
    </xf>
    <xf numFmtId="182" fontId="3" fillId="0" borderId="0" xfId="0" applyNumberFormat="1" applyFont="1" applyFill="1">
      <alignment vertical="center"/>
    </xf>
    <xf numFmtId="180" fontId="3" fillId="0" borderId="23" xfId="0" applyNumberFormat="1" applyFont="1" applyFill="1" applyBorder="1" applyAlignment="1">
      <alignment horizontal="right" vertical="center"/>
    </xf>
    <xf numFmtId="180" fontId="3" fillId="0" borderId="10" xfId="0" applyNumberFormat="1" applyFont="1" applyFill="1" applyBorder="1" applyAlignment="1">
      <alignment horizontal="right" vertical="center"/>
    </xf>
    <xf numFmtId="179" fontId="3" fillId="0" borderId="31" xfId="0" applyNumberFormat="1" applyFont="1" applyFill="1" applyBorder="1">
      <alignment vertical="center"/>
    </xf>
    <xf numFmtId="179" fontId="3" fillId="0" borderId="21" xfId="0" applyNumberFormat="1" applyFont="1" applyFill="1" applyBorder="1">
      <alignment vertical="center"/>
    </xf>
    <xf numFmtId="179" fontId="3" fillId="0" borderId="32" xfId="0" applyNumberFormat="1" applyFont="1" applyFill="1" applyBorder="1">
      <alignment vertical="center"/>
    </xf>
    <xf numFmtId="179" fontId="3" fillId="0" borderId="0" xfId="0" applyNumberFormat="1" applyFont="1" applyFill="1" applyBorder="1">
      <alignment vertical="center"/>
    </xf>
    <xf numFmtId="0" fontId="3" fillId="0" borderId="23" xfId="0" applyFont="1" applyFill="1" applyBorder="1">
      <alignment vertical="center"/>
    </xf>
    <xf numFmtId="0" fontId="3" fillId="0" borderId="7" xfId="0" applyFont="1" applyFill="1" applyBorder="1">
      <alignment vertical="center"/>
    </xf>
    <xf numFmtId="0" fontId="3" fillId="0" borderId="14" xfId="0" applyFont="1" applyFill="1" applyBorder="1">
      <alignment vertical="center"/>
    </xf>
    <xf numFmtId="179" fontId="3" fillId="0" borderId="17" xfId="0" applyNumberFormat="1" applyFont="1" applyFill="1" applyBorder="1" applyAlignment="1">
      <alignment horizontal="right" vertical="center"/>
    </xf>
    <xf numFmtId="179" fontId="3" fillId="0" borderId="8" xfId="0" applyNumberFormat="1" applyFont="1" applyFill="1" applyBorder="1" applyAlignment="1">
      <alignment horizontal="right" vertical="center"/>
    </xf>
    <xf numFmtId="179" fontId="3" fillId="0" borderId="27" xfId="0" applyNumberFormat="1" applyFont="1" applyFill="1" applyBorder="1" applyAlignment="1">
      <alignment horizontal="right" vertical="center"/>
    </xf>
    <xf numFmtId="0" fontId="3" fillId="0" borderId="21" xfId="0" applyFont="1" applyFill="1" applyBorder="1" applyAlignment="1">
      <alignment horizontal="distributed" vertical="center"/>
    </xf>
    <xf numFmtId="0" fontId="3" fillId="0" borderId="22" xfId="0" applyFont="1" applyFill="1" applyBorder="1">
      <alignment vertical="center"/>
    </xf>
    <xf numFmtId="0" fontId="3" fillId="0" borderId="10" xfId="0" applyFont="1" applyFill="1" applyBorder="1">
      <alignment vertical="center"/>
    </xf>
    <xf numFmtId="0" fontId="3" fillId="0" borderId="9" xfId="0" applyFont="1" applyFill="1" applyBorder="1">
      <alignment vertical="center"/>
    </xf>
    <xf numFmtId="181" fontId="3" fillId="0" borderId="15" xfId="0" applyNumberFormat="1" applyFont="1" applyFill="1" applyBorder="1">
      <alignment vertical="center"/>
    </xf>
    <xf numFmtId="182" fontId="3" fillId="0" borderId="0" xfId="0" applyNumberFormat="1" applyFont="1" applyFill="1" applyBorder="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183" fontId="3" fillId="0" borderId="0" xfId="0" applyNumberFormat="1" applyFont="1" applyFill="1" applyBorder="1">
      <alignment vertical="center"/>
    </xf>
    <xf numFmtId="0" fontId="3" fillId="0" borderId="0" xfId="0" applyNumberFormat="1" applyFont="1" applyFill="1" applyBorder="1">
      <alignment vertical="center"/>
    </xf>
    <xf numFmtId="38" fontId="3" fillId="0" borderId="23" xfId="0" applyNumberFormat="1" applyFont="1" applyFill="1" applyBorder="1">
      <alignment vertical="center"/>
    </xf>
    <xf numFmtId="38" fontId="3" fillId="0" borderId="7" xfId="0" applyNumberFormat="1" applyFont="1" applyFill="1" applyBorder="1">
      <alignment vertical="center"/>
    </xf>
    <xf numFmtId="38" fontId="3" fillId="0" borderId="22" xfId="0" applyNumberFormat="1" applyFont="1" applyFill="1" applyBorder="1">
      <alignment vertical="center"/>
    </xf>
    <xf numFmtId="0" fontId="3" fillId="0" borderId="0" xfId="0" applyFont="1" applyFill="1" applyBorder="1" applyAlignment="1">
      <alignment horizontal="center" vertical="center"/>
    </xf>
    <xf numFmtId="179" fontId="3" fillId="0" borderId="0" xfId="0" applyNumberFormat="1" applyFont="1" applyFill="1" applyBorder="1" applyAlignment="1">
      <alignment horizontal="center" vertical="center"/>
    </xf>
    <xf numFmtId="180" fontId="3" fillId="0" borderId="0" xfId="0" applyNumberFormat="1" applyFont="1" applyFill="1" applyBorder="1">
      <alignment vertical="center"/>
    </xf>
    <xf numFmtId="0" fontId="3" fillId="0" borderId="21" xfId="0" applyFont="1" applyFill="1" applyBorder="1" applyAlignment="1">
      <alignment vertical="center"/>
    </xf>
    <xf numFmtId="181" fontId="3" fillId="0" borderId="0" xfId="0" applyNumberFormat="1" applyFont="1" applyFill="1" applyBorder="1">
      <alignment vertical="center"/>
    </xf>
    <xf numFmtId="0" fontId="3" fillId="0" borderId="0" xfId="0" applyFont="1" applyBorder="1">
      <alignment vertical="center"/>
    </xf>
    <xf numFmtId="0" fontId="8" fillId="0" borderId="0" xfId="0"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13" fillId="0" borderId="0" xfId="0" applyFont="1" applyFill="1" applyBorder="1">
      <alignment vertical="center"/>
    </xf>
    <xf numFmtId="0" fontId="3" fillId="0" borderId="39" xfId="0" applyFont="1" applyFill="1" applyBorder="1" applyAlignment="1">
      <alignment horizontal="center" vertical="center"/>
    </xf>
    <xf numFmtId="180" fontId="3" fillId="0" borderId="9" xfId="0" applyNumberFormat="1" applyFont="1" applyFill="1" applyBorder="1">
      <alignment vertical="center"/>
    </xf>
    <xf numFmtId="0" fontId="13" fillId="0" borderId="0" xfId="0" applyFont="1" applyFill="1">
      <alignment vertical="center"/>
    </xf>
    <xf numFmtId="0" fontId="3" fillId="0" borderId="37" xfId="0" applyFont="1" applyFill="1" applyBorder="1" applyAlignment="1">
      <alignment vertical="center"/>
    </xf>
    <xf numFmtId="0" fontId="3" fillId="0" borderId="0" xfId="0" applyNumberFormat="1" applyFont="1" applyFill="1" applyAlignment="1">
      <alignment horizontal="center" vertical="center"/>
    </xf>
    <xf numFmtId="0" fontId="3" fillId="0" borderId="0" xfId="0" applyNumberFormat="1" applyFont="1" applyFill="1" applyAlignment="1">
      <alignment horizontal="center" vertical="center" shrinkToFit="1"/>
    </xf>
    <xf numFmtId="180" fontId="3" fillId="0" borderId="33" xfId="0" applyNumberFormat="1" applyFont="1" applyFill="1" applyBorder="1">
      <alignment vertical="center"/>
    </xf>
    <xf numFmtId="181" fontId="3" fillId="0" borderId="40" xfId="0" applyNumberFormat="1" applyFont="1" applyFill="1" applyBorder="1">
      <alignment vertical="center"/>
    </xf>
    <xf numFmtId="181" fontId="3" fillId="0" borderId="41" xfId="0" applyNumberFormat="1" applyFont="1" applyFill="1" applyBorder="1">
      <alignment vertical="center"/>
    </xf>
    <xf numFmtId="0" fontId="3" fillId="0" borderId="33" xfId="0" applyFont="1" applyFill="1" applyBorder="1">
      <alignment vertical="center"/>
    </xf>
    <xf numFmtId="182" fontId="3" fillId="0" borderId="0" xfId="0" applyNumberFormat="1" applyFont="1">
      <alignment vertical="center"/>
    </xf>
    <xf numFmtId="0" fontId="3" fillId="0" borderId="0" xfId="0" applyFont="1" applyAlignment="1">
      <alignment vertical="center" wrapText="1"/>
    </xf>
    <xf numFmtId="179" fontId="3" fillId="0" borderId="28" xfId="0" applyNumberFormat="1" applyFont="1" applyFill="1" applyBorder="1">
      <alignment vertical="center"/>
    </xf>
    <xf numFmtId="179" fontId="3" fillId="0" borderId="29" xfId="0" applyNumberFormat="1" applyFont="1" applyFill="1" applyBorder="1">
      <alignment vertical="center"/>
    </xf>
    <xf numFmtId="179" fontId="3" fillId="0" borderId="30" xfId="0" applyNumberFormat="1" applyFont="1" applyFill="1" applyBorder="1">
      <alignment vertical="center"/>
    </xf>
    <xf numFmtId="0" fontId="3" fillId="0" borderId="0" xfId="0" applyFont="1" applyFill="1" applyAlignment="1">
      <alignment vertical="center"/>
    </xf>
    <xf numFmtId="179" fontId="3" fillId="0" borderId="17"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27" xfId="0" applyNumberFormat="1" applyFont="1" applyFill="1" applyBorder="1" applyAlignment="1">
      <alignment vertical="center"/>
    </xf>
    <xf numFmtId="0" fontId="3" fillId="0" borderId="0" xfId="0" applyFont="1" applyAlignment="1">
      <alignment vertical="center"/>
    </xf>
    <xf numFmtId="0" fontId="3" fillId="0" borderId="0" xfId="0" applyNumberFormat="1" applyFont="1" applyAlignment="1">
      <alignment vertical="center"/>
    </xf>
    <xf numFmtId="0" fontId="16" fillId="0" borderId="0" xfId="0" applyNumberFormat="1" applyFont="1" applyFill="1">
      <alignment vertical="center"/>
    </xf>
    <xf numFmtId="0" fontId="3" fillId="0" borderId="0" xfId="0" applyFont="1" applyBorder="1" applyAlignment="1">
      <alignment horizontal="center"/>
    </xf>
    <xf numFmtId="180" fontId="3" fillId="0" borderId="0"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distributed" vertical="center" wrapText="1"/>
    </xf>
    <xf numFmtId="0" fontId="3" fillId="0" borderId="38" xfId="0" applyFont="1" applyFill="1" applyBorder="1" applyAlignment="1">
      <alignment horizontal="center" vertical="center"/>
    </xf>
    <xf numFmtId="0" fontId="3" fillId="0" borderId="14" xfId="0" applyFont="1" applyFill="1" applyBorder="1" applyAlignment="1">
      <alignment horizontal="center" vertical="center"/>
    </xf>
    <xf numFmtId="182" fontId="3" fillId="0" borderId="0" xfId="0" applyNumberFormat="1" applyFont="1" applyFill="1" applyBorder="1" applyAlignment="1">
      <alignment vertical="center"/>
    </xf>
    <xf numFmtId="179" fontId="3" fillId="0" borderId="0" xfId="0" applyNumberFormat="1" applyFont="1" applyFill="1" applyBorder="1" applyAlignment="1">
      <alignment vertical="center"/>
    </xf>
    <xf numFmtId="182" fontId="3" fillId="0" borderId="0" xfId="0" applyNumberFormat="1" applyFont="1" applyFill="1" applyAlignment="1">
      <alignment vertical="center"/>
    </xf>
    <xf numFmtId="0" fontId="10" fillId="0" borderId="0" xfId="0" applyFont="1" applyFill="1" applyAlignment="1">
      <alignment vertical="center"/>
    </xf>
    <xf numFmtId="0" fontId="3" fillId="0" borderId="0" xfId="0" applyFont="1" applyBorder="1" applyAlignment="1">
      <alignment vertical="center"/>
    </xf>
    <xf numFmtId="0" fontId="10" fillId="0" borderId="0" xfId="0" applyNumberFormat="1" applyFont="1" applyFill="1" applyAlignment="1">
      <alignment vertical="center"/>
    </xf>
    <xf numFmtId="0" fontId="3" fillId="0" borderId="1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Border="1" applyAlignment="1">
      <alignment horizontal="left" vertical="center"/>
    </xf>
    <xf numFmtId="0" fontId="18" fillId="0" borderId="0" xfId="0" applyFont="1" applyFill="1">
      <alignment vertical="center"/>
    </xf>
    <xf numFmtId="0" fontId="16" fillId="0" borderId="0" xfId="0" applyFont="1" applyFill="1">
      <alignment vertical="center"/>
    </xf>
    <xf numFmtId="0" fontId="16" fillId="0" borderId="0" xfId="0" applyFont="1" applyFill="1" applyBorder="1" applyAlignment="1">
      <alignment horizontal="center" vertical="center"/>
    </xf>
    <xf numFmtId="182" fontId="16" fillId="0" borderId="0" xfId="0" applyNumberFormat="1" applyFont="1" applyFill="1" applyBorder="1">
      <alignment vertical="center"/>
    </xf>
    <xf numFmtId="0" fontId="16" fillId="0" borderId="0" xfId="0" applyFont="1" applyFill="1" applyBorder="1" applyAlignment="1">
      <alignment vertical="center"/>
    </xf>
    <xf numFmtId="0" fontId="9" fillId="0" borderId="0" xfId="0" applyFont="1" applyFill="1" applyBorder="1" applyAlignment="1">
      <alignment vertical="center"/>
    </xf>
    <xf numFmtId="0" fontId="16" fillId="0" borderId="0" xfId="0" applyFont="1" applyFill="1" applyBorder="1" applyAlignment="1">
      <alignment horizontal="left" vertical="center"/>
    </xf>
    <xf numFmtId="182" fontId="3" fillId="0" borderId="40" xfId="0" applyNumberFormat="1" applyFont="1" applyFill="1" applyBorder="1">
      <alignment vertical="center"/>
    </xf>
    <xf numFmtId="182" fontId="3" fillId="0" borderId="29" xfId="0" applyNumberFormat="1" applyFont="1" applyFill="1" applyBorder="1">
      <alignment vertical="center"/>
    </xf>
    <xf numFmtId="182" fontId="3" fillId="0" borderId="41" xfId="0" applyNumberFormat="1" applyFont="1" applyFill="1" applyBorder="1">
      <alignment vertical="center"/>
    </xf>
    <xf numFmtId="182" fontId="3" fillId="0" borderId="30" xfId="0" applyNumberFormat="1" applyFont="1" applyFill="1" applyBorder="1">
      <alignment vertical="center"/>
    </xf>
    <xf numFmtId="179" fontId="3" fillId="0" borderId="16" xfId="0" applyNumberFormat="1" applyFont="1" applyFill="1" applyBorder="1">
      <alignment vertical="center"/>
    </xf>
    <xf numFmtId="184" fontId="3" fillId="0" borderId="20" xfId="0" applyNumberFormat="1" applyFont="1" applyFill="1" applyBorder="1">
      <alignment vertical="center"/>
    </xf>
    <xf numFmtId="184" fontId="3" fillId="0" borderId="4" xfId="0" applyNumberFormat="1" applyFont="1" applyFill="1" applyBorder="1" applyAlignment="1">
      <alignment horizontal="center" vertical="center"/>
    </xf>
    <xf numFmtId="184" fontId="3" fillId="0" borderId="18" xfId="0" applyNumberFormat="1" applyFont="1" applyFill="1" applyBorder="1" applyAlignment="1">
      <alignment horizontal="center" vertical="center"/>
    </xf>
    <xf numFmtId="184" fontId="3" fillId="0" borderId="3" xfId="0" applyNumberFormat="1" applyFont="1" applyFill="1" applyBorder="1">
      <alignment vertical="center"/>
    </xf>
    <xf numFmtId="184" fontId="3" fillId="0" borderId="0" xfId="0" applyNumberFormat="1" applyFont="1" applyFill="1">
      <alignment vertical="center"/>
    </xf>
    <xf numFmtId="0" fontId="3" fillId="0" borderId="40" xfId="0" applyNumberFormat="1" applyFont="1" applyFill="1" applyBorder="1">
      <alignment vertical="center"/>
    </xf>
    <xf numFmtId="0" fontId="3" fillId="0" borderId="29" xfId="0" applyNumberFormat="1" applyFont="1" applyFill="1" applyBorder="1">
      <alignment vertical="center"/>
    </xf>
    <xf numFmtId="0" fontId="3" fillId="0" borderId="41" xfId="0" applyNumberFormat="1" applyFont="1" applyFill="1" applyBorder="1">
      <alignment vertical="center"/>
    </xf>
    <xf numFmtId="0" fontId="3" fillId="0" borderId="30" xfId="0" applyNumberFormat="1" applyFont="1" applyFill="1" applyBorder="1">
      <alignment vertical="center"/>
    </xf>
    <xf numFmtId="179" fontId="3" fillId="0" borderId="45"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3" fillId="0" borderId="37" xfId="0" applyNumberFormat="1" applyFont="1" applyFill="1" applyBorder="1">
      <alignment vertical="center"/>
    </xf>
    <xf numFmtId="179" fontId="3" fillId="0" borderId="38" xfId="0" applyNumberFormat="1" applyFont="1" applyFill="1" applyBorder="1">
      <alignment vertical="center"/>
    </xf>
    <xf numFmtId="0" fontId="3" fillId="0" borderId="46" xfId="0" applyNumberFormat="1" applyFont="1" applyFill="1" applyBorder="1">
      <alignment vertical="center"/>
    </xf>
    <xf numFmtId="0" fontId="8" fillId="0" borderId="0" xfId="0" applyFont="1" applyFill="1" applyAlignment="1">
      <alignment horizontal="left"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xf>
    <xf numFmtId="179" fontId="3" fillId="0" borderId="0" xfId="0" applyNumberFormat="1" applyFont="1" applyFill="1" applyBorder="1" applyAlignment="1">
      <alignment horizontal="center"/>
    </xf>
    <xf numFmtId="185" fontId="3" fillId="0" borderId="0" xfId="0" applyNumberFormat="1" applyFont="1" applyFill="1" applyBorder="1">
      <alignment vertical="center"/>
    </xf>
    <xf numFmtId="180" fontId="3" fillId="0" borderId="47" xfId="0" applyNumberFormat="1" applyFont="1" applyFill="1" applyBorder="1">
      <alignment vertical="center"/>
    </xf>
    <xf numFmtId="0" fontId="3" fillId="0" borderId="48" xfId="0" applyFont="1" applyFill="1" applyBorder="1" applyAlignment="1">
      <alignment horizontal="center" vertical="center"/>
    </xf>
    <xf numFmtId="185" fontId="3" fillId="0" borderId="9" xfId="0" applyNumberFormat="1" applyFont="1" applyFill="1" applyBorder="1">
      <alignment vertical="center"/>
    </xf>
    <xf numFmtId="180" fontId="3" fillId="0" borderId="49" xfId="0" applyNumberFormat="1" applyFont="1" applyFill="1" applyBorder="1">
      <alignment vertical="center"/>
    </xf>
    <xf numFmtId="180" fontId="3" fillId="0" borderId="48" xfId="0" applyNumberFormat="1" applyFont="1" applyFill="1" applyBorder="1">
      <alignment vertical="center"/>
    </xf>
    <xf numFmtId="180" fontId="3" fillId="0" borderId="50" xfId="0" applyNumberFormat="1" applyFont="1" applyFill="1" applyBorder="1">
      <alignment vertical="center"/>
    </xf>
    <xf numFmtId="0" fontId="3" fillId="0" borderId="47" xfId="0" applyFont="1" applyFill="1" applyBorder="1">
      <alignment vertical="center"/>
    </xf>
    <xf numFmtId="185" fontId="3" fillId="0" borderId="48" xfId="0" applyNumberFormat="1" applyFont="1" applyFill="1" applyBorder="1">
      <alignment vertical="center"/>
    </xf>
    <xf numFmtId="180" fontId="3" fillId="0" borderId="0" xfId="0" applyNumberFormat="1" applyFont="1" applyFill="1" applyBorder="1" applyAlignment="1">
      <alignment horizontal="center"/>
    </xf>
    <xf numFmtId="179" fontId="3" fillId="0" borderId="51" xfId="0" applyNumberFormat="1" applyFont="1" applyFill="1" applyBorder="1">
      <alignment vertical="center"/>
    </xf>
    <xf numFmtId="179" fontId="3" fillId="0" borderId="52" xfId="0" applyNumberFormat="1" applyFont="1" applyFill="1" applyBorder="1" applyAlignment="1">
      <alignment horizontal="center" vertical="center"/>
    </xf>
    <xf numFmtId="179" fontId="3" fillId="0" borderId="15" xfId="0" applyNumberFormat="1" applyFont="1" applyFill="1" applyBorder="1">
      <alignment vertical="center"/>
    </xf>
    <xf numFmtId="179" fontId="3" fillId="0" borderId="52" xfId="0" applyNumberFormat="1" applyFont="1" applyFill="1" applyBorder="1">
      <alignment vertical="center"/>
    </xf>
    <xf numFmtId="179" fontId="3" fillId="0" borderId="53" xfId="0" applyNumberFormat="1" applyFont="1" applyFill="1" applyBorder="1">
      <alignment vertical="center"/>
    </xf>
    <xf numFmtId="185" fontId="3" fillId="0" borderId="15" xfId="0" applyNumberFormat="1" applyFont="1" applyFill="1" applyBorder="1">
      <alignment vertical="center"/>
    </xf>
    <xf numFmtId="185" fontId="3" fillId="0" borderId="52" xfId="0" applyNumberFormat="1" applyFont="1" applyFill="1" applyBorder="1">
      <alignment vertical="center"/>
    </xf>
    <xf numFmtId="0" fontId="3" fillId="0" borderId="9"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54" xfId="0" applyFont="1" applyFill="1" applyBorder="1" applyAlignment="1">
      <alignment horizontal="center" vertical="center"/>
    </xf>
    <xf numFmtId="179" fontId="3" fillId="0" borderId="55" xfId="0" applyNumberFormat="1" applyFont="1" applyFill="1" applyBorder="1">
      <alignment vertical="center"/>
    </xf>
    <xf numFmtId="185" fontId="3" fillId="0" borderId="34" xfId="0" applyNumberFormat="1" applyFont="1" applyFill="1" applyBorder="1">
      <alignment vertical="center"/>
    </xf>
    <xf numFmtId="185" fontId="3" fillId="0" borderId="55" xfId="0" applyNumberFormat="1" applyFont="1" applyFill="1" applyBorder="1">
      <alignment vertical="center"/>
    </xf>
    <xf numFmtId="0" fontId="3" fillId="0" borderId="33" xfId="0" applyFont="1" applyFill="1" applyBorder="1" applyAlignment="1">
      <alignment horizontal="left" vertical="center"/>
    </xf>
    <xf numFmtId="0" fontId="3" fillId="0" borderId="48" xfId="0" applyFont="1" applyFill="1" applyBorder="1">
      <alignment vertical="center"/>
    </xf>
    <xf numFmtId="179" fontId="3" fillId="0" borderId="9" xfId="0" applyNumberFormat="1" applyFont="1" applyFill="1" applyBorder="1">
      <alignment vertical="center"/>
    </xf>
    <xf numFmtId="0" fontId="3" fillId="0" borderId="10" xfId="0" applyFont="1" applyFill="1" applyBorder="1" applyAlignment="1">
      <alignment horizontal="left" vertical="center"/>
    </xf>
    <xf numFmtId="179" fontId="3" fillId="0" borderId="48" xfId="0" applyNumberFormat="1" applyFont="1" applyFill="1" applyBorder="1">
      <alignment vertical="center"/>
    </xf>
    <xf numFmtId="0" fontId="3" fillId="0" borderId="39" xfId="0" applyFont="1" applyFill="1" applyBorder="1" applyAlignment="1">
      <alignment horizontal="left" vertical="center"/>
    </xf>
    <xf numFmtId="0" fontId="3" fillId="0" borderId="16" xfId="0" applyFont="1" applyFill="1" applyBorder="1" applyAlignment="1">
      <alignment horizontal="left" vertical="center"/>
    </xf>
    <xf numFmtId="179" fontId="3" fillId="0" borderId="0" xfId="0" applyNumberFormat="1" applyFont="1" applyFill="1" applyBorder="1" applyAlignment="1">
      <alignment vertical="center" shrinkToFit="1"/>
    </xf>
    <xf numFmtId="0" fontId="3" fillId="0" borderId="40" xfId="0" applyFont="1" applyFill="1" applyBorder="1">
      <alignment vertical="center"/>
    </xf>
    <xf numFmtId="0" fontId="3" fillId="0" borderId="56" xfId="0" applyNumberFormat="1" applyFont="1" applyFill="1" applyBorder="1" applyAlignment="1">
      <alignment vertical="center" shrinkToFit="1"/>
    </xf>
    <xf numFmtId="179" fontId="3" fillId="0" borderId="57" xfId="0" applyNumberFormat="1" applyFont="1" applyFill="1" applyBorder="1" applyAlignment="1">
      <alignment vertical="center" shrinkToFit="1"/>
    </xf>
    <xf numFmtId="0" fontId="3" fillId="0" borderId="58" xfId="0" applyNumberFormat="1" applyFont="1" applyFill="1" applyBorder="1" applyAlignment="1">
      <alignment vertical="center" shrinkToFit="1"/>
    </xf>
    <xf numFmtId="179" fontId="3" fillId="0" borderId="41" xfId="0" applyNumberFormat="1" applyFont="1" applyFill="1" applyBorder="1" applyAlignment="1">
      <alignment vertical="center" shrinkToFit="1"/>
    </xf>
    <xf numFmtId="0" fontId="3" fillId="0" borderId="59" xfId="0" applyNumberFormat="1" applyFont="1" applyFill="1" applyBorder="1" applyAlignment="1">
      <alignment vertical="center" shrinkToFit="1"/>
    </xf>
    <xf numFmtId="0" fontId="3" fillId="0" borderId="16" xfId="0" applyFont="1" applyFill="1" applyBorder="1">
      <alignment vertical="center"/>
    </xf>
    <xf numFmtId="179" fontId="3" fillId="0" borderId="60" xfId="0" applyNumberFormat="1" applyFont="1" applyFill="1" applyBorder="1" applyAlignment="1">
      <alignment vertical="center" shrinkToFit="1"/>
    </xf>
    <xf numFmtId="179" fontId="3" fillId="0" borderId="52" xfId="0" applyNumberFormat="1" applyFont="1" applyFill="1" applyBorder="1" applyAlignment="1">
      <alignment vertical="center" shrinkToFit="1"/>
    </xf>
    <xf numFmtId="179" fontId="3" fillId="0" borderId="19" xfId="0" applyNumberFormat="1" applyFont="1" applyFill="1" applyBorder="1" applyAlignment="1">
      <alignment vertical="center" shrinkToFit="1"/>
    </xf>
    <xf numFmtId="179" fontId="3" fillId="0" borderId="16" xfId="0" applyNumberFormat="1" applyFont="1" applyFill="1" applyBorder="1" applyAlignment="1">
      <alignment vertical="center" shrinkToFit="1"/>
    </xf>
    <xf numFmtId="179" fontId="3" fillId="0" borderId="0" xfId="0" applyNumberFormat="1" applyFont="1" applyFill="1" applyBorder="1" applyAlignment="1">
      <alignment horizontal="center" shrinkToFit="1"/>
    </xf>
    <xf numFmtId="185" fontId="3" fillId="0" borderId="10" xfId="0" applyNumberFormat="1" applyFont="1" applyFill="1" applyBorder="1">
      <alignment vertical="center"/>
    </xf>
    <xf numFmtId="180" fontId="3" fillId="0" borderId="48" xfId="0" applyNumberFormat="1" applyFont="1" applyFill="1" applyBorder="1" applyAlignment="1">
      <alignment horizontal="center"/>
    </xf>
    <xf numFmtId="180" fontId="3" fillId="0" borderId="52" xfId="0" applyNumberFormat="1" applyFont="1" applyFill="1" applyBorder="1" applyAlignment="1">
      <alignment horizontal="center"/>
    </xf>
    <xf numFmtId="0" fontId="3" fillId="0" borderId="22" xfId="0" applyFont="1" applyFill="1" applyBorder="1" applyAlignment="1">
      <alignment vertical="center" shrinkToFit="1"/>
    </xf>
    <xf numFmtId="0" fontId="3" fillId="0" borderId="15" xfId="0" applyFont="1" applyFill="1" applyBorder="1" applyAlignment="1">
      <alignment vertical="center" shrinkToFit="1"/>
    </xf>
    <xf numFmtId="179" fontId="3" fillId="0" borderId="15" xfId="0" applyNumberFormat="1" applyFont="1" applyFill="1" applyBorder="1" applyAlignment="1">
      <alignment horizontal="center"/>
    </xf>
    <xf numFmtId="0" fontId="3" fillId="0" borderId="22" xfId="0" applyFont="1" applyFill="1" applyBorder="1" applyAlignment="1">
      <alignment vertical="center"/>
    </xf>
    <xf numFmtId="0" fontId="3" fillId="0" borderId="15" xfId="0" applyFont="1" applyFill="1" applyBorder="1" applyAlignment="1">
      <alignment vertical="center"/>
    </xf>
    <xf numFmtId="179" fontId="3" fillId="0" borderId="52" xfId="0" applyNumberFormat="1" applyFont="1" applyFill="1" applyBorder="1" applyAlignment="1">
      <alignment horizontal="center"/>
    </xf>
    <xf numFmtId="0" fontId="3" fillId="0" borderId="15" xfId="0" applyFont="1" applyFill="1" applyBorder="1" applyAlignment="1">
      <alignment horizontal="left" vertical="center"/>
    </xf>
    <xf numFmtId="0" fontId="3" fillId="0" borderId="0" xfId="0" applyFont="1" applyFill="1" applyAlignment="1">
      <alignment vertical="center" shrinkToFit="1"/>
    </xf>
    <xf numFmtId="180" fontId="3" fillId="0" borderId="9" xfId="0" applyNumberFormat="1" applyFont="1" applyFill="1" applyBorder="1" applyAlignment="1">
      <alignment vertical="center" shrinkToFit="1"/>
    </xf>
    <xf numFmtId="180" fontId="3" fillId="0" borderId="48" xfId="0" applyNumberFormat="1" applyFont="1" applyFill="1" applyBorder="1" applyAlignment="1">
      <alignment vertical="center" shrinkToFit="1"/>
    </xf>
    <xf numFmtId="179" fontId="3" fillId="0" borderId="15" xfId="0" applyNumberFormat="1" applyFont="1" applyFill="1" applyBorder="1" applyAlignment="1">
      <alignment vertical="center" shrinkToFit="1"/>
    </xf>
    <xf numFmtId="0" fontId="3" fillId="0" borderId="22" xfId="0" applyFont="1" applyFill="1" applyBorder="1" applyAlignment="1">
      <alignment horizontal="left" vertical="center" shrinkToFit="1"/>
    </xf>
    <xf numFmtId="179" fontId="3" fillId="0" borderId="10" xfId="0" applyNumberFormat="1" applyFont="1" applyFill="1" applyBorder="1">
      <alignment vertical="center"/>
    </xf>
    <xf numFmtId="0" fontId="3" fillId="0" borderId="27" xfId="0" applyFont="1" applyFill="1" applyBorder="1" applyAlignment="1">
      <alignment horizontal="left" vertical="center" shrinkToFit="1"/>
    </xf>
    <xf numFmtId="0" fontId="3" fillId="0" borderId="54" xfId="0" applyFont="1" applyFill="1" applyBorder="1" applyAlignment="1">
      <alignment horizontal="left" vertical="center"/>
    </xf>
    <xf numFmtId="0" fontId="3" fillId="0" borderId="40" xfId="0" applyFont="1" applyFill="1" applyBorder="1" applyAlignment="1">
      <alignment horizontal="left" vertical="center"/>
    </xf>
    <xf numFmtId="179" fontId="3" fillId="0" borderId="61" xfId="0" applyNumberFormat="1" applyFont="1" applyFill="1" applyBorder="1">
      <alignment vertical="center"/>
    </xf>
    <xf numFmtId="179" fontId="3" fillId="0" borderId="57" xfId="0" applyNumberFormat="1" applyFont="1" applyFill="1" applyBorder="1" applyAlignment="1">
      <alignment horizontal="center" vertical="center"/>
    </xf>
    <xf numFmtId="179" fontId="3" fillId="0" borderId="41" xfId="0" applyNumberFormat="1" applyFont="1" applyFill="1" applyBorder="1">
      <alignment vertical="center"/>
    </xf>
    <xf numFmtId="179" fontId="3" fillId="0" borderId="57" xfId="0" applyNumberFormat="1" applyFont="1" applyFill="1" applyBorder="1">
      <alignment vertical="center"/>
    </xf>
    <xf numFmtId="179" fontId="3" fillId="0" borderId="59" xfId="0" applyNumberFormat="1" applyFont="1" applyFill="1" applyBorder="1">
      <alignment vertical="center"/>
    </xf>
    <xf numFmtId="180" fontId="3" fillId="0" borderId="10" xfId="0" applyNumberFormat="1" applyFont="1" applyFill="1" applyBorder="1" applyAlignment="1">
      <alignment horizontal="center"/>
    </xf>
    <xf numFmtId="0" fontId="3" fillId="0" borderId="0" xfId="0" applyNumberFormat="1" applyFont="1" applyFill="1" applyBorder="1" applyAlignment="1">
      <alignment vertical="center" shrinkToFit="1"/>
    </xf>
    <xf numFmtId="0" fontId="3" fillId="0" borderId="0" xfId="0" applyNumberFormat="1" applyFont="1" applyFill="1" applyBorder="1" applyAlignment="1">
      <alignment horizontal="center" shrinkToFit="1"/>
    </xf>
    <xf numFmtId="180" fontId="3" fillId="0" borderId="48" xfId="0" applyNumberFormat="1" applyFont="1" applyFill="1" applyBorder="1" applyAlignment="1">
      <alignment horizontal="center" vertical="center" shrinkToFit="1"/>
    </xf>
    <xf numFmtId="179" fontId="3" fillId="0" borderId="5" xfId="0" applyNumberFormat="1" applyFont="1" applyFill="1" applyBorder="1" applyAlignment="1">
      <alignment vertical="center" shrinkToFit="1"/>
    </xf>
    <xf numFmtId="180" fontId="3" fillId="0" borderId="62" xfId="0" applyNumberFormat="1" applyFont="1" applyFill="1" applyBorder="1">
      <alignment vertical="center"/>
    </xf>
    <xf numFmtId="180" fontId="3" fillId="0" borderId="5" xfId="0" applyNumberFormat="1" applyFont="1" applyFill="1" applyBorder="1">
      <alignment vertical="center"/>
    </xf>
    <xf numFmtId="180" fontId="3" fillId="0" borderId="6" xfId="0" applyNumberFormat="1" applyFont="1" applyFill="1" applyBorder="1">
      <alignment vertical="center"/>
    </xf>
    <xf numFmtId="179" fontId="3" fillId="3" borderId="5" xfId="0" applyNumberFormat="1" applyFont="1" applyFill="1" applyBorder="1" applyAlignment="1">
      <alignment vertical="center" shrinkToFit="1"/>
    </xf>
    <xf numFmtId="180" fontId="3" fillId="3" borderId="62" xfId="0" applyNumberFormat="1" applyFont="1" applyFill="1" applyBorder="1">
      <alignment vertical="center"/>
    </xf>
    <xf numFmtId="180" fontId="3" fillId="3" borderId="5" xfId="0" applyNumberFormat="1" applyFont="1" applyFill="1" applyBorder="1">
      <alignment vertical="center"/>
    </xf>
    <xf numFmtId="180" fontId="3" fillId="3" borderId="6" xfId="0" applyNumberFormat="1" applyFont="1" applyFill="1" applyBorder="1">
      <alignment vertical="center"/>
    </xf>
    <xf numFmtId="180" fontId="3" fillId="3" borderId="0" xfId="0" applyNumberFormat="1" applyFont="1" applyFill="1" applyBorder="1">
      <alignment vertical="center"/>
    </xf>
    <xf numFmtId="0" fontId="3" fillId="0" borderId="5" xfId="0" applyFont="1" applyFill="1" applyBorder="1" applyAlignment="1">
      <alignment vertical="center" wrapText="1"/>
    </xf>
    <xf numFmtId="38" fontId="3" fillId="0" borderId="62" xfId="1" applyFont="1" applyFill="1" applyBorder="1">
      <alignment vertical="center"/>
    </xf>
    <xf numFmtId="38" fontId="3" fillId="0" borderId="5" xfId="1" applyFont="1" applyFill="1" applyBorder="1">
      <alignment vertical="center"/>
    </xf>
    <xf numFmtId="38" fontId="3" fillId="0" borderId="6" xfId="1" applyFont="1" applyFill="1" applyBorder="1">
      <alignment vertical="center"/>
    </xf>
    <xf numFmtId="0" fontId="3" fillId="3" borderId="5" xfId="0" applyFont="1" applyFill="1" applyBorder="1" applyAlignment="1">
      <alignment vertical="center" wrapText="1"/>
    </xf>
    <xf numFmtId="38" fontId="3" fillId="3" borderId="62" xfId="1" applyFont="1" applyFill="1" applyBorder="1">
      <alignment vertical="center"/>
    </xf>
    <xf numFmtId="38" fontId="3" fillId="3" borderId="5" xfId="1" applyFont="1" applyFill="1" applyBorder="1">
      <alignment vertical="center"/>
    </xf>
    <xf numFmtId="38" fontId="3" fillId="3" borderId="6" xfId="1" applyFont="1" applyFill="1" applyBorder="1">
      <alignment vertical="center"/>
    </xf>
    <xf numFmtId="38" fontId="3" fillId="3" borderId="0" xfId="1" applyFont="1" applyFill="1" applyBorder="1">
      <alignment vertical="center"/>
    </xf>
    <xf numFmtId="0" fontId="3" fillId="3" borderId="0" xfId="0" applyFont="1" applyFill="1" applyBorder="1" applyAlignment="1">
      <alignment vertical="center"/>
    </xf>
    <xf numFmtId="0" fontId="3" fillId="0" borderId="0" xfId="0" applyFont="1" applyFill="1" applyAlignment="1">
      <alignment vertical="center" wrapText="1"/>
    </xf>
    <xf numFmtId="0" fontId="3" fillId="3" borderId="0" xfId="0" applyFont="1" applyFill="1" applyAlignment="1">
      <alignment vertical="center" wrapText="1"/>
    </xf>
    <xf numFmtId="0" fontId="3" fillId="3" borderId="0" xfId="0" applyNumberFormat="1" applyFont="1" applyFill="1" applyAlignment="1">
      <alignment horizontal="center" vertical="center"/>
    </xf>
    <xf numFmtId="180" fontId="3" fillId="3" borderId="0" xfId="0" applyNumberFormat="1" applyFont="1" applyFill="1">
      <alignment vertical="center"/>
    </xf>
    <xf numFmtId="180" fontId="3" fillId="0" borderId="0" xfId="0" applyNumberFormat="1" applyFont="1" applyFill="1" applyBorder="1" applyAlignment="1">
      <alignment vertical="center" shrinkToFit="1"/>
    </xf>
    <xf numFmtId="0" fontId="3" fillId="0" borderId="61" xfId="0" applyNumberFormat="1" applyFont="1" applyFill="1" applyBorder="1" applyAlignment="1">
      <alignment vertical="center" shrinkToFit="1"/>
    </xf>
    <xf numFmtId="0" fontId="3" fillId="0" borderId="39" xfId="0" applyFont="1" applyFill="1" applyBorder="1">
      <alignment vertical="center"/>
    </xf>
    <xf numFmtId="0" fontId="3" fillId="0" borderId="60" xfId="0" applyNumberFormat="1" applyFont="1" applyFill="1" applyBorder="1" applyAlignment="1">
      <alignment vertical="center" shrinkToFit="1"/>
    </xf>
    <xf numFmtId="0" fontId="3" fillId="0" borderId="51" xfId="0" applyNumberFormat="1" applyFont="1" applyFill="1" applyBorder="1" applyAlignment="1">
      <alignment vertical="center" shrinkToFit="1"/>
    </xf>
    <xf numFmtId="0" fontId="3" fillId="0" borderId="52" xfId="0" applyNumberFormat="1" applyFont="1" applyFill="1" applyBorder="1" applyAlignment="1">
      <alignment horizontal="center" shrinkToFit="1"/>
    </xf>
    <xf numFmtId="180" fontId="3" fillId="4" borderId="9" xfId="0" applyNumberFormat="1" applyFont="1" applyFill="1" applyBorder="1" applyAlignment="1">
      <alignment vertical="center" shrinkToFit="1"/>
    </xf>
    <xf numFmtId="0" fontId="3" fillId="4" borderId="47" xfId="0" applyFont="1" applyFill="1" applyBorder="1">
      <alignment vertical="center"/>
    </xf>
    <xf numFmtId="180" fontId="3" fillId="4" borderId="48" xfId="0" applyNumberFormat="1" applyFont="1" applyFill="1" applyBorder="1" applyAlignment="1">
      <alignment vertical="center" shrinkToFit="1"/>
    </xf>
    <xf numFmtId="180" fontId="3" fillId="4" borderId="14" xfId="0" applyNumberFormat="1" applyFont="1" applyFill="1" applyBorder="1">
      <alignment vertical="center"/>
    </xf>
    <xf numFmtId="180" fontId="3" fillId="4" borderId="0" xfId="0" applyNumberFormat="1" applyFont="1" applyFill="1" applyBorder="1" applyAlignment="1">
      <alignment vertical="center" shrinkToFit="1"/>
    </xf>
    <xf numFmtId="179" fontId="3" fillId="4" borderId="15" xfId="0" applyNumberFormat="1" applyFont="1" applyFill="1" applyBorder="1" applyAlignment="1">
      <alignment vertical="center" shrinkToFit="1"/>
    </xf>
    <xf numFmtId="179" fontId="3" fillId="4" borderId="51" xfId="0" applyNumberFormat="1" applyFont="1" applyFill="1" applyBorder="1">
      <alignment vertical="center"/>
    </xf>
    <xf numFmtId="179" fontId="3" fillId="4" borderId="52" xfId="0" applyNumberFormat="1" applyFont="1" applyFill="1" applyBorder="1" applyAlignment="1">
      <alignment vertical="center" shrinkToFit="1"/>
    </xf>
    <xf numFmtId="179" fontId="3" fillId="4" borderId="0" xfId="0" applyNumberFormat="1" applyFont="1" applyFill="1" applyBorder="1" applyAlignment="1">
      <alignment vertical="center" shrinkToFit="1"/>
    </xf>
    <xf numFmtId="180" fontId="3" fillId="5" borderId="9" xfId="0" applyNumberFormat="1" applyFont="1" applyFill="1" applyBorder="1" applyAlignment="1">
      <alignment vertical="center" shrinkToFit="1"/>
    </xf>
    <xf numFmtId="0" fontId="3" fillId="5" borderId="47" xfId="0" applyFont="1" applyFill="1" applyBorder="1">
      <alignment vertical="center"/>
    </xf>
    <xf numFmtId="180" fontId="3" fillId="5" borderId="48" xfId="0" applyNumberFormat="1" applyFont="1" applyFill="1" applyBorder="1" applyAlignment="1">
      <alignment vertical="center" shrinkToFit="1"/>
    </xf>
    <xf numFmtId="180" fontId="3" fillId="5" borderId="14" xfId="0" applyNumberFormat="1" applyFont="1" applyFill="1" applyBorder="1">
      <alignment vertical="center"/>
    </xf>
    <xf numFmtId="180" fontId="3" fillId="5" borderId="0" xfId="0" applyNumberFormat="1" applyFont="1" applyFill="1" applyBorder="1" applyAlignment="1">
      <alignment vertical="center" shrinkToFit="1"/>
    </xf>
    <xf numFmtId="179" fontId="3" fillId="5" borderId="15" xfId="0" applyNumberFormat="1" applyFont="1" applyFill="1" applyBorder="1" applyAlignment="1">
      <alignment vertical="center" shrinkToFit="1"/>
    </xf>
    <xf numFmtId="179" fontId="3" fillId="5" borderId="51" xfId="0" applyNumberFormat="1" applyFont="1" applyFill="1" applyBorder="1">
      <alignment vertical="center"/>
    </xf>
    <xf numFmtId="179" fontId="3" fillId="5" borderId="52" xfId="0" applyNumberFormat="1" applyFont="1" applyFill="1" applyBorder="1" applyAlignment="1">
      <alignment vertical="center" shrinkToFit="1"/>
    </xf>
    <xf numFmtId="179" fontId="3" fillId="5" borderId="0" xfId="0" applyNumberFormat="1" applyFont="1" applyFill="1" applyBorder="1" applyAlignment="1">
      <alignment vertical="center" shrinkToFit="1"/>
    </xf>
    <xf numFmtId="0" fontId="3" fillId="0" borderId="47" xfId="0" applyFont="1" applyBorder="1" applyAlignment="1">
      <alignment vertical="center"/>
    </xf>
    <xf numFmtId="180" fontId="3" fillId="5" borderId="48" xfId="0" applyNumberFormat="1" applyFont="1" applyFill="1" applyBorder="1" applyAlignment="1">
      <alignment horizontal="center" vertical="center" shrinkToFit="1"/>
    </xf>
    <xf numFmtId="0" fontId="3" fillId="0" borderId="0" xfId="0" applyFont="1" applyFill="1" applyBorder="1" applyAlignment="1">
      <alignment horizontal="center" vertical="center" shrinkToFit="1"/>
    </xf>
    <xf numFmtId="179" fontId="3" fillId="0" borderId="1" xfId="0" applyNumberFormat="1" applyFont="1" applyFill="1" applyBorder="1" applyAlignment="1">
      <alignment vertical="center" shrinkToFit="1"/>
    </xf>
    <xf numFmtId="180" fontId="3" fillId="0" borderId="3" xfId="0" applyNumberFormat="1" applyFont="1" applyFill="1" applyBorder="1">
      <alignment vertical="center"/>
    </xf>
    <xf numFmtId="179" fontId="3" fillId="5" borderId="1" xfId="0" applyNumberFormat="1" applyFont="1" applyFill="1" applyBorder="1" applyAlignment="1">
      <alignment vertical="center" shrinkToFit="1"/>
    </xf>
    <xf numFmtId="180" fontId="3" fillId="5" borderId="6" xfId="0" applyNumberFormat="1" applyFont="1" applyFill="1" applyBorder="1">
      <alignment vertical="center"/>
    </xf>
    <xf numFmtId="180" fontId="3" fillId="5" borderId="5" xfId="0" applyNumberFormat="1" applyFont="1" applyFill="1" applyBorder="1">
      <alignment vertical="center"/>
    </xf>
    <xf numFmtId="180" fontId="3" fillId="5" borderId="3" xfId="0" applyNumberFormat="1" applyFont="1" applyFill="1" applyBorder="1">
      <alignment vertical="center"/>
    </xf>
    <xf numFmtId="180" fontId="3" fillId="5" borderId="0" xfId="0" applyNumberFormat="1" applyFont="1" applyFill="1" applyBorder="1">
      <alignment vertical="center"/>
    </xf>
    <xf numFmtId="0" fontId="3" fillId="0" borderId="15" xfId="0" applyFont="1" applyFill="1" applyBorder="1">
      <alignment vertical="center"/>
    </xf>
    <xf numFmtId="180" fontId="3" fillId="0" borderId="51" xfId="0" applyNumberFormat="1" applyFont="1" applyFill="1" applyBorder="1">
      <alignment vertical="center"/>
    </xf>
    <xf numFmtId="180" fontId="3" fillId="0" borderId="52" xfId="0" applyNumberFormat="1" applyFont="1" applyFill="1" applyBorder="1">
      <alignment vertical="center"/>
    </xf>
    <xf numFmtId="180" fontId="3" fillId="0" borderId="19" xfId="0" applyNumberFormat="1" applyFont="1" applyFill="1" applyBorder="1">
      <alignment vertical="center"/>
    </xf>
    <xf numFmtId="0" fontId="3" fillId="5" borderId="15" xfId="0" applyFont="1" applyFill="1" applyBorder="1">
      <alignment vertical="center"/>
    </xf>
    <xf numFmtId="180" fontId="3" fillId="5" borderId="51" xfId="0" applyNumberFormat="1" applyFont="1" applyFill="1" applyBorder="1">
      <alignment vertical="center"/>
    </xf>
    <xf numFmtId="180" fontId="3" fillId="5" borderId="52" xfId="0" applyNumberFormat="1" applyFont="1" applyFill="1" applyBorder="1">
      <alignment vertical="center"/>
    </xf>
    <xf numFmtId="180" fontId="3" fillId="5" borderId="19" xfId="0" applyNumberFormat="1" applyFont="1" applyFill="1" applyBorder="1">
      <alignment vertical="center"/>
    </xf>
    <xf numFmtId="185" fontId="3" fillId="0" borderId="0" xfId="0" applyNumberFormat="1" applyFont="1" applyFill="1" applyAlignment="1">
      <alignment horizontal="center" vertical="center"/>
    </xf>
    <xf numFmtId="185" fontId="3" fillId="0" borderId="0" xfId="0" applyNumberFormat="1" applyFont="1" applyFill="1">
      <alignment vertical="center"/>
    </xf>
    <xf numFmtId="0" fontId="3" fillId="5" borderId="0" xfId="0" applyFont="1" applyFill="1">
      <alignment vertical="center"/>
    </xf>
    <xf numFmtId="185" fontId="3" fillId="5" borderId="0" xfId="0" applyNumberFormat="1" applyFont="1" applyFill="1" applyAlignment="1">
      <alignment horizontal="center" vertical="center"/>
    </xf>
    <xf numFmtId="185" fontId="3" fillId="5" borderId="0" xfId="0" applyNumberFormat="1" applyFont="1" applyFill="1">
      <alignment vertical="center"/>
    </xf>
    <xf numFmtId="179" fontId="3" fillId="0" borderId="55" xfId="0" applyNumberFormat="1" applyFont="1" applyFill="1" applyBorder="1" applyAlignment="1">
      <alignment horizontal="center" vertical="center"/>
    </xf>
    <xf numFmtId="179" fontId="3" fillId="0" borderId="34" xfId="0" applyNumberFormat="1" applyFont="1" applyFill="1" applyBorder="1">
      <alignment vertical="center"/>
    </xf>
    <xf numFmtId="179" fontId="3" fillId="0" borderId="48" xfId="0" applyNumberFormat="1" applyFont="1" applyFill="1" applyBorder="1" applyAlignment="1">
      <alignment horizontal="center" vertical="center"/>
    </xf>
    <xf numFmtId="185" fontId="3" fillId="0" borderId="48" xfId="0" applyNumberFormat="1" applyFont="1" applyFill="1" applyBorder="1" applyAlignment="1">
      <alignment horizontal="center"/>
    </xf>
    <xf numFmtId="185" fontId="3" fillId="0" borderId="52" xfId="0" applyNumberFormat="1" applyFont="1" applyFill="1" applyBorder="1" applyAlignment="1">
      <alignment horizontal="center"/>
    </xf>
    <xf numFmtId="0" fontId="3" fillId="0" borderId="9" xfId="0" applyFont="1" applyFill="1" applyBorder="1" applyAlignment="1">
      <alignment horizontal="center" vertical="center" wrapText="1"/>
    </xf>
    <xf numFmtId="0" fontId="3" fillId="0" borderId="49" xfId="0" applyFont="1" applyFill="1" applyBorder="1">
      <alignment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wrapText="1"/>
    </xf>
    <xf numFmtId="179" fontId="3" fillId="0" borderId="15" xfId="0" applyNumberFormat="1" applyFont="1" applyFill="1" applyBorder="1" applyAlignment="1">
      <alignment horizontal="center" vertical="center"/>
    </xf>
    <xf numFmtId="0" fontId="3" fillId="0" borderId="9" xfId="0" applyFont="1" applyFill="1" applyBorder="1" applyAlignment="1">
      <alignment vertical="center" shrinkToFit="1"/>
    </xf>
    <xf numFmtId="0" fontId="3" fillId="0" borderId="32" xfId="0" applyFont="1" applyFill="1" applyBorder="1" applyAlignment="1">
      <alignment horizontal="left" vertical="center" shrinkToFit="1"/>
    </xf>
    <xf numFmtId="0" fontId="3" fillId="0" borderId="64" xfId="0" applyFont="1" applyFill="1" applyBorder="1" applyAlignment="1">
      <alignment horizontal="center" vertical="center"/>
    </xf>
    <xf numFmtId="179" fontId="3" fillId="0" borderId="65" xfId="0" applyNumberFormat="1" applyFont="1" applyFill="1" applyBorder="1">
      <alignment vertical="center"/>
    </xf>
    <xf numFmtId="180" fontId="3" fillId="0" borderId="48" xfId="0" applyNumberFormat="1" applyFont="1" applyFill="1" applyBorder="1" applyAlignment="1">
      <alignment horizontal="center" vertical="center"/>
    </xf>
    <xf numFmtId="0" fontId="3" fillId="0" borderId="27" xfId="0" applyFont="1" applyFill="1" applyBorder="1" applyAlignment="1">
      <alignment vertical="center" shrinkToFit="1"/>
    </xf>
    <xf numFmtId="0" fontId="3" fillId="0"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lignment vertical="center"/>
    </xf>
    <xf numFmtId="0" fontId="3" fillId="4" borderId="0" xfId="0" applyFont="1" applyFill="1">
      <alignment vertical="center"/>
    </xf>
    <xf numFmtId="185" fontId="3" fillId="4" borderId="0" xfId="0" applyNumberFormat="1" applyFont="1" applyFill="1" applyAlignment="1">
      <alignment horizontal="center" vertical="center"/>
    </xf>
    <xf numFmtId="185" fontId="3" fillId="4" borderId="0" xfId="0" applyNumberFormat="1" applyFont="1" applyFill="1">
      <alignment vertical="center"/>
    </xf>
    <xf numFmtId="0" fontId="3" fillId="5" borderId="34" xfId="0" applyFont="1" applyFill="1" applyBorder="1" applyAlignment="1">
      <alignment horizontal="center" vertical="center"/>
    </xf>
    <xf numFmtId="0" fontId="3" fillId="0" borderId="63" xfId="0" applyFont="1" applyFill="1" applyBorder="1" applyAlignment="1">
      <alignment horizontal="center" vertical="center"/>
    </xf>
    <xf numFmtId="0" fontId="3" fillId="5" borderId="15" xfId="0" applyFont="1" applyFill="1" applyBorder="1" applyAlignment="1">
      <alignment horizontal="center" vertical="center"/>
    </xf>
    <xf numFmtId="185" fontId="3" fillId="0" borderId="47" xfId="0" applyNumberFormat="1" applyFont="1" applyFill="1" applyBorder="1">
      <alignment vertical="center"/>
    </xf>
    <xf numFmtId="0" fontId="3" fillId="0" borderId="15" xfId="0" applyFont="1" applyFill="1" applyBorder="1" applyAlignment="1">
      <alignment horizontal="left" vertical="center" wrapText="1"/>
    </xf>
    <xf numFmtId="180" fontId="3" fillId="0" borderId="2" xfId="0" applyNumberFormat="1" applyFont="1" applyFill="1" applyBorder="1" applyAlignment="1">
      <alignment horizontal="right" vertical="center"/>
    </xf>
    <xf numFmtId="180" fontId="3" fillId="0" borderId="5"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180" fontId="3" fillId="3" borderId="2" xfId="0" applyNumberFormat="1" applyFont="1" applyFill="1" applyBorder="1" applyAlignment="1">
      <alignment horizontal="right" vertical="center"/>
    </xf>
    <xf numFmtId="180" fontId="3" fillId="3" borderId="5" xfId="0" applyNumberFormat="1" applyFont="1" applyFill="1" applyBorder="1" applyAlignment="1">
      <alignment horizontal="right" vertical="center"/>
    </xf>
    <xf numFmtId="180" fontId="3" fillId="3" borderId="6" xfId="0" applyNumberFormat="1" applyFont="1" applyFill="1" applyBorder="1" applyAlignment="1">
      <alignment horizontal="right" vertical="center"/>
    </xf>
    <xf numFmtId="180" fontId="3" fillId="3" borderId="0" xfId="0" applyNumberFormat="1" applyFont="1" applyFill="1" applyBorder="1" applyAlignment="1">
      <alignment horizontal="right" vertical="center"/>
    </xf>
    <xf numFmtId="0" fontId="3" fillId="0" borderId="5" xfId="0" applyFont="1" applyFill="1" applyBorder="1">
      <alignment vertical="center"/>
    </xf>
    <xf numFmtId="0" fontId="3" fillId="0" borderId="2" xfId="0"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3" borderId="5" xfId="0" applyFont="1" applyFill="1" applyBorder="1">
      <alignment vertical="center"/>
    </xf>
    <xf numFmtId="0" fontId="3" fillId="3" borderId="2" xfId="0" applyFont="1" applyFill="1" applyBorder="1" applyAlignment="1">
      <alignment horizontal="right" vertical="center"/>
    </xf>
    <xf numFmtId="0" fontId="3" fillId="3" borderId="5" xfId="0" applyFont="1" applyFill="1" applyBorder="1" applyAlignment="1">
      <alignment horizontal="right" vertical="center"/>
    </xf>
    <xf numFmtId="0" fontId="3" fillId="3" borderId="6" xfId="0" applyFont="1" applyFill="1" applyBorder="1" applyAlignment="1">
      <alignment horizontal="right" vertical="center"/>
    </xf>
    <xf numFmtId="0" fontId="3" fillId="3" borderId="0" xfId="0" applyFont="1" applyFill="1" applyBorder="1" applyAlignment="1">
      <alignment horizontal="right" vertical="center"/>
    </xf>
    <xf numFmtId="0" fontId="3" fillId="0" borderId="17" xfId="0" applyFont="1" applyFill="1" applyBorder="1" applyAlignment="1">
      <alignment horizontal="center" vertical="center"/>
    </xf>
    <xf numFmtId="179" fontId="3" fillId="0" borderId="4" xfId="0" applyNumberFormat="1" applyFont="1" applyFill="1" applyBorder="1" applyAlignment="1">
      <alignment horizontal="center" vertical="center"/>
    </xf>
    <xf numFmtId="179" fontId="3" fillId="0" borderId="4"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9" xfId="0" applyFont="1" applyFill="1" applyBorder="1" applyAlignment="1">
      <alignment horizontal="center" vertical="center"/>
    </xf>
    <xf numFmtId="180" fontId="3" fillId="0" borderId="7" xfId="0" applyNumberFormat="1" applyFont="1" applyFill="1" applyBorder="1" applyAlignment="1">
      <alignment horizontal="center" vertical="center"/>
    </xf>
    <xf numFmtId="180" fontId="3" fillId="0" borderId="8"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8" xfId="0" applyFont="1" applyFill="1" applyBorder="1" applyAlignment="1">
      <alignment horizontal="center" vertical="center"/>
    </xf>
    <xf numFmtId="38" fontId="3" fillId="0" borderId="7" xfId="1" applyFont="1" applyFill="1" applyBorder="1" applyAlignment="1">
      <alignment horizontal="right" vertical="center"/>
    </xf>
    <xf numFmtId="179" fontId="4" fillId="0" borderId="18" xfId="0" applyNumberFormat="1" applyFont="1" applyFill="1" applyBorder="1" applyAlignment="1">
      <alignment horizontal="center" vertical="center"/>
    </xf>
    <xf numFmtId="179" fontId="4" fillId="0" borderId="4"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1"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179" fontId="3" fillId="0" borderId="47" xfId="0" applyNumberFormat="1" applyFont="1" applyFill="1" applyBorder="1" applyAlignment="1">
      <alignment horizontal="center" vertical="center"/>
    </xf>
    <xf numFmtId="179" fontId="3" fillId="0" borderId="51" xfId="0" applyNumberFormat="1" applyFont="1" applyFill="1" applyBorder="1" applyAlignment="1">
      <alignment horizontal="center" vertical="center"/>
    </xf>
    <xf numFmtId="179" fontId="3" fillId="0" borderId="49" xfId="0" applyNumberFormat="1" applyFont="1" applyFill="1" applyBorder="1" applyAlignment="1">
      <alignment horizontal="center" vertical="center"/>
    </xf>
    <xf numFmtId="179" fontId="3" fillId="0" borderId="60" xfId="0" applyNumberFormat="1" applyFont="1" applyFill="1" applyBorder="1" applyAlignment="1">
      <alignment horizontal="center" vertical="center"/>
    </xf>
    <xf numFmtId="180" fontId="3" fillId="0" borderId="47" xfId="0" applyNumberFormat="1" applyFont="1" applyFill="1" applyBorder="1" applyAlignment="1">
      <alignment horizontal="center" vertical="center"/>
    </xf>
    <xf numFmtId="180" fontId="3" fillId="0" borderId="51" xfId="0" applyNumberFormat="1" applyFont="1" applyFill="1" applyBorder="1" applyAlignment="1">
      <alignment horizontal="center" vertical="center"/>
    </xf>
    <xf numFmtId="179" fontId="3" fillId="0" borderId="4"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79" fontId="3" fillId="0" borderId="2" xfId="0" applyNumberFormat="1" applyFont="1" applyFill="1" applyBorder="1" applyAlignment="1">
      <alignment horizontal="center" vertical="center" wrapText="1"/>
    </xf>
    <xf numFmtId="179" fontId="3" fillId="0" borderId="45" xfId="0" applyNumberFormat="1" applyFont="1" applyFill="1" applyBorder="1" applyAlignment="1">
      <alignment horizontal="center" vertical="center"/>
    </xf>
    <xf numFmtId="0" fontId="3" fillId="0" borderId="34"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19" xfId="0" applyFont="1" applyFill="1" applyBorder="1" applyAlignment="1">
      <alignment horizontal="left" vertical="center"/>
    </xf>
    <xf numFmtId="180" fontId="3" fillId="0" borderId="0" xfId="0" applyNumberFormat="1" applyFont="1" applyFill="1" applyBorder="1" applyAlignment="1">
      <alignment horizontal="center" vertical="center"/>
    </xf>
    <xf numFmtId="0" fontId="3" fillId="0" borderId="63" xfId="0" applyFont="1" applyFill="1" applyBorder="1" applyAlignment="1">
      <alignment horizontal="center" vertical="center"/>
    </xf>
    <xf numFmtId="0" fontId="3" fillId="0" borderId="0" xfId="0" applyFont="1" applyBorder="1" applyAlignment="1">
      <alignment horizontal="center" vertical="center"/>
    </xf>
    <xf numFmtId="179" fontId="3" fillId="0" borderId="0" xfId="0" applyNumberFormat="1" applyFont="1" applyFill="1" applyBorder="1" applyAlignment="1">
      <alignment horizontal="center" vertical="center" wrapText="1"/>
    </xf>
    <xf numFmtId="17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79" fontId="3" fillId="0" borderId="50" xfId="0" applyNumberFormat="1" applyFont="1" applyFill="1" applyBorder="1" applyAlignment="1">
      <alignment horizontal="center" vertical="center"/>
    </xf>
    <xf numFmtId="179" fontId="3" fillId="0" borderId="53" xfId="0" applyNumberFormat="1" applyFont="1" applyFill="1" applyBorder="1" applyAlignment="1">
      <alignment horizontal="center" vertical="center"/>
    </xf>
    <xf numFmtId="0" fontId="3" fillId="0" borderId="63"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4" borderId="63" xfId="0" applyFont="1" applyFill="1" applyBorder="1" applyAlignment="1">
      <alignment horizontal="center" vertical="center" shrinkToFit="1"/>
    </xf>
    <xf numFmtId="0" fontId="3" fillId="4" borderId="1" xfId="0" applyFont="1" applyFill="1" applyBorder="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xf>
    <xf numFmtId="0" fontId="3" fillId="0" borderId="22" xfId="0" applyFont="1" applyFill="1" applyBorder="1" applyAlignment="1">
      <alignment horizontal="left" vertical="center"/>
    </xf>
    <xf numFmtId="0" fontId="3" fillId="0" borderId="27"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6" xfId="0" applyFont="1" applyFill="1" applyBorder="1" applyAlignment="1">
      <alignment horizontal="distributed"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distributed" vertical="distributed"/>
    </xf>
    <xf numFmtId="0" fontId="3" fillId="0" borderId="10" xfId="0" applyFont="1" applyFill="1" applyBorder="1" applyAlignment="1">
      <alignment horizontal="distributed" vertical="distributed"/>
    </xf>
    <xf numFmtId="0" fontId="3" fillId="0" borderId="15" xfId="0" applyFont="1" applyFill="1" applyBorder="1" applyAlignment="1">
      <alignment horizontal="distributed" vertical="distributed"/>
    </xf>
    <xf numFmtId="0" fontId="3" fillId="0" borderId="16" xfId="0" applyFont="1" applyFill="1" applyBorder="1" applyAlignment="1">
      <alignment horizontal="distributed" vertical="distributed"/>
    </xf>
    <xf numFmtId="0" fontId="3" fillId="0" borderId="4" xfId="0" applyFont="1" applyFill="1" applyBorder="1" applyAlignment="1">
      <alignment horizontal="center" vertical="center"/>
    </xf>
    <xf numFmtId="0" fontId="19" fillId="0" borderId="0" xfId="0" applyFont="1" applyFill="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38" xfId="0" applyFont="1" applyFill="1" applyBorder="1" applyAlignment="1">
      <alignment horizontal="left" vertical="center" wrapText="1"/>
    </xf>
    <xf numFmtId="0" fontId="3" fillId="0" borderId="33" xfId="0" applyFont="1" applyFill="1" applyBorder="1" applyAlignment="1">
      <alignment horizontal="center" vertical="center"/>
    </xf>
    <xf numFmtId="180" fontId="3" fillId="0" borderId="22" xfId="0" applyNumberFormat="1" applyFont="1" applyFill="1" applyBorder="1" applyAlignment="1">
      <alignment horizontal="center" vertical="center"/>
    </xf>
    <xf numFmtId="180" fontId="3" fillId="0" borderId="27" xfId="0" applyNumberFormat="1" applyFont="1" applyFill="1" applyBorder="1" applyAlignment="1">
      <alignment horizontal="center" vertical="center"/>
    </xf>
    <xf numFmtId="0" fontId="3" fillId="0" borderId="39" xfId="0" applyFont="1" applyFill="1" applyBorder="1" applyAlignment="1">
      <alignment horizontal="center" vertical="center"/>
    </xf>
    <xf numFmtId="180" fontId="3" fillId="0" borderId="7" xfId="0" applyNumberFormat="1" applyFont="1" applyFill="1" applyBorder="1" applyAlignment="1">
      <alignment horizontal="center" vertical="center"/>
    </xf>
    <xf numFmtId="180" fontId="3" fillId="0" borderId="8" xfId="0" applyNumberFormat="1"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37" xfId="0" applyFont="1" applyFill="1" applyBorder="1" applyAlignment="1">
      <alignment horizontal="distributed" vertical="center"/>
    </xf>
    <xf numFmtId="0" fontId="3" fillId="0" borderId="38" xfId="0" applyFont="1" applyFill="1" applyBorder="1" applyAlignment="1">
      <alignment horizontal="distributed" vertical="center"/>
    </xf>
    <xf numFmtId="0" fontId="3" fillId="0" borderId="7"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distributed"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3" fillId="0" borderId="9" xfId="0" applyFont="1" applyFill="1" applyBorder="1" applyAlignment="1">
      <alignment horizontal="distributed" vertical="center" wrapText="1"/>
    </xf>
    <xf numFmtId="0" fontId="11" fillId="2" borderId="0" xfId="0" applyFont="1" applyFill="1" applyAlignment="1">
      <alignment horizontal="left" vertical="center" shrinkToFit="1"/>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10" xfId="0" applyFont="1" applyFill="1" applyBorder="1" applyAlignment="1">
      <alignment horizontal="distributed" vertical="center" wrapText="1"/>
    </xf>
    <xf numFmtId="0" fontId="3" fillId="0" borderId="37" xfId="0" applyFont="1" applyFill="1" applyBorder="1" applyAlignment="1">
      <alignment horizontal="distributed" vertical="center" wrapText="1"/>
    </xf>
    <xf numFmtId="0" fontId="3" fillId="0" borderId="15" xfId="0" applyFont="1" applyFill="1" applyBorder="1" applyAlignment="1">
      <alignment horizontal="distributed" vertical="center" wrapText="1"/>
    </xf>
    <xf numFmtId="0" fontId="3" fillId="0" borderId="16" xfId="0" applyFont="1" applyFill="1" applyBorder="1" applyAlignment="1">
      <alignment horizontal="distributed" vertical="center" wrapText="1"/>
    </xf>
    <xf numFmtId="0" fontId="3" fillId="0" borderId="38" xfId="0" applyFont="1" applyFill="1" applyBorder="1" applyAlignment="1">
      <alignment horizontal="distributed" vertical="center" wrapText="1"/>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37"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38" xfId="0" applyFont="1" applyFill="1" applyBorder="1" applyAlignment="1">
      <alignment horizontal="distributed" vertical="center"/>
    </xf>
    <xf numFmtId="0" fontId="3" fillId="0" borderId="23" xfId="0" applyFont="1" applyFill="1" applyBorder="1" applyAlignment="1">
      <alignment horizontal="center" vertical="center"/>
    </xf>
    <xf numFmtId="0" fontId="14" fillId="0" borderId="9" xfId="0" applyFont="1" applyFill="1" applyBorder="1" applyAlignment="1">
      <alignment horizontal="distributed" vertical="center"/>
    </xf>
    <xf numFmtId="0" fontId="14" fillId="0" borderId="37" xfId="0" applyFont="1" applyFill="1" applyBorder="1" applyAlignment="1">
      <alignment horizontal="distributed" vertical="center"/>
    </xf>
    <xf numFmtId="0" fontId="14" fillId="0" borderId="15" xfId="0" applyFont="1" applyFill="1" applyBorder="1" applyAlignment="1">
      <alignment horizontal="distributed" vertical="center"/>
    </xf>
    <xf numFmtId="0" fontId="14" fillId="0" borderId="38" xfId="0" applyFont="1" applyFill="1" applyBorder="1" applyAlignment="1">
      <alignment horizontal="distributed" vertical="center"/>
    </xf>
    <xf numFmtId="0" fontId="4" fillId="0" borderId="0"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22" xfId="0" applyFont="1" applyFill="1" applyBorder="1" applyAlignment="1">
      <alignment horizontal="distributed" vertical="center"/>
    </xf>
    <xf numFmtId="0" fontId="3" fillId="0" borderId="27" xfId="0" applyFont="1" applyFill="1" applyBorder="1" applyAlignment="1">
      <alignment horizontal="distributed" vertical="center"/>
    </xf>
    <xf numFmtId="0" fontId="2" fillId="0" borderId="1" xfId="0" applyFont="1" applyFill="1" applyBorder="1" applyAlignment="1">
      <alignment horizontal="distributed" vertical="center" wrapText="1"/>
    </xf>
    <xf numFmtId="0" fontId="2" fillId="0" borderId="1" xfId="0" applyFont="1" applyFill="1" applyBorder="1" applyAlignment="1">
      <alignment horizontal="distributed" vertical="center"/>
    </xf>
    <xf numFmtId="0" fontId="3" fillId="0" borderId="34"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16" xfId="0" applyFont="1" applyFill="1" applyBorder="1" applyAlignment="1">
      <alignment horizontal="distributed" vertical="center"/>
    </xf>
    <xf numFmtId="0" fontId="6" fillId="0" borderId="0" xfId="0" applyFont="1" applyFill="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distributed" vertical="center"/>
    </xf>
    <xf numFmtId="0" fontId="3" fillId="0" borderId="21" xfId="0" applyFont="1" applyFill="1" applyBorder="1" applyAlignment="1">
      <alignment horizontal="left" vertical="center" wrapText="1"/>
    </xf>
    <xf numFmtId="0" fontId="3" fillId="0" borderId="21" xfId="0" applyFont="1" applyFill="1" applyBorder="1" applyAlignment="1">
      <alignment horizontal="left" vertical="center"/>
    </xf>
    <xf numFmtId="0" fontId="3" fillId="0" borderId="8" xfId="0" applyFont="1" applyFill="1" applyBorder="1" applyAlignment="1">
      <alignment horizontal="left" vertical="center"/>
    </xf>
    <xf numFmtId="0" fontId="11"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9999"/>
      <color rgb="FFCCCCFF"/>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10.xml.rels>&#65279;<?xml version="1.0" encoding="utf-8" standalone="yes"?>
<Relationships xmlns="http://schemas.openxmlformats.org/package/2006/relationships">
  <Relationship Id="rId2" Type="http://schemas.microsoft.com/office/2011/relationships/chartColorStyle" Target="colors10.xml" />
  <Relationship Id="rId1" Type="http://schemas.microsoft.com/office/2011/relationships/chartStyle" Target="style10.xml" />
</Relationships>
</file>

<file path=xl/charts/_rels/chart11.xml.rels>&#65279;<?xml version="1.0" encoding="utf-8" standalone="yes"?>
<Relationships xmlns="http://schemas.openxmlformats.org/package/2006/relationships">
  <Relationship Id="rId2" Type="http://schemas.microsoft.com/office/2011/relationships/chartColorStyle" Target="colors11.xml" />
  <Relationship Id="rId1" Type="http://schemas.microsoft.com/office/2011/relationships/chartStyle" Target="style1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_rels/chart4.xml.rels>&#65279;<?xml version="1.0" encoding="utf-8" standalone="yes"?>
<Relationships xmlns="http://schemas.openxmlformats.org/package/2006/relationships">
  <Relationship Id="rId2" Type="http://schemas.microsoft.com/office/2011/relationships/chartColorStyle" Target="colors4.xml" />
  <Relationship Id="rId1" Type="http://schemas.microsoft.com/office/2011/relationships/chartStyle" Target="style4.xml" />
</Relationships>
</file>

<file path=xl/charts/_rels/chart5.xml.rels>&#65279;<?xml version="1.0" encoding="utf-8" standalone="yes"?>
<Relationships xmlns="http://schemas.openxmlformats.org/package/2006/relationships">
  <Relationship Id="rId2" Type="http://schemas.microsoft.com/office/2011/relationships/chartColorStyle" Target="colors5.xml" />
  <Relationship Id="rId1" Type="http://schemas.microsoft.com/office/2011/relationships/chartStyle" Target="style5.xml" />
</Relationships>
</file>

<file path=xl/charts/_rels/chart6.xml.rels>&#65279;<?xml version="1.0" encoding="utf-8" standalone="yes"?>
<Relationships xmlns="http://schemas.openxmlformats.org/package/2006/relationships">
  <Relationship Id="rId2" Type="http://schemas.microsoft.com/office/2011/relationships/chartColorStyle" Target="colors6.xml" />
  <Relationship Id="rId1" Type="http://schemas.microsoft.com/office/2011/relationships/chartStyle" Target="style6.xml" />
</Relationships>
</file>

<file path=xl/charts/_rels/chart7.xml.rels>&#65279;<?xml version="1.0" encoding="utf-8" standalone="yes"?>
<Relationships xmlns="http://schemas.openxmlformats.org/package/2006/relationships">
  <Relationship Id="rId2" Type="http://schemas.microsoft.com/office/2011/relationships/chartColorStyle" Target="colors7.xml" />
  <Relationship Id="rId1" Type="http://schemas.microsoft.com/office/2011/relationships/chartStyle" Target="style7.xml" />
</Relationships>
</file>

<file path=xl/charts/_rels/chart8.xml.rels>&#65279;<?xml version="1.0" encoding="utf-8" standalone="yes"?>
<Relationships xmlns="http://schemas.openxmlformats.org/package/2006/relationships">
  <Relationship Id="rId2" Type="http://schemas.microsoft.com/office/2011/relationships/chartColorStyle" Target="colors8.xml" />
  <Relationship Id="rId1" Type="http://schemas.microsoft.com/office/2011/relationships/chartStyle" Target="style8.xml" />
</Relationships>
</file>

<file path=xl/charts/_rels/chart9.xml.rels>&#65279;<?xml version="1.0" encoding="utf-8" standalone="yes"?>
<Relationships xmlns="http://schemas.openxmlformats.org/package/2006/relationships">
  <Relationship Id="rId2" Type="http://schemas.microsoft.com/office/2011/relationships/chartColorStyle" Target="colors9.xml" />
  <Relationship Id="rId1" Type="http://schemas.microsoft.com/office/2011/relationships/chartStyle" Target="style9.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138022608305961"/>
          <c:y val="0.19650107343368442"/>
          <c:w val="0.57762379702537181"/>
          <c:h val="0.799786795881284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E00-4896-8052-60EB25EBB8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E00-4896-8052-60EB25EBB8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E00-4896-8052-60EB25EBB8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E00-4896-8052-60EB25EBB8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E00-4896-8052-60EB25EBB8B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E00-4896-8052-60EB25EBB8BF}"/>
              </c:ext>
            </c:extLst>
          </c:dPt>
          <c:dLbls>
            <c:dLbl>
              <c:idx val="0"/>
              <c:layout>
                <c:manualLayout>
                  <c:x val="-0.14694139897414688"/>
                  <c:y val="-0.2101957209657159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3437585675825647"/>
                      <c:h val="0.14245094816559925"/>
                    </c:manualLayout>
                  </c15:layout>
                </c:ext>
                <c:ext xmlns:c16="http://schemas.microsoft.com/office/drawing/2014/chart" uri="{C3380CC4-5D6E-409C-BE32-E72D297353CC}">
                  <c16:uniqueId val="{00000001-CE00-4896-8052-60EB25EBB8BF}"/>
                </c:ext>
              </c:extLst>
            </c:dLbl>
            <c:dLbl>
              <c:idx val="1"/>
              <c:layout>
                <c:manualLayout>
                  <c:x val="1.4940645814829318E-2"/>
                  <c:y val="0.1844193771652770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E00-4896-8052-60EB25EBB8BF}"/>
                </c:ext>
              </c:extLst>
            </c:dLbl>
            <c:dLbl>
              <c:idx val="2"/>
              <c:layout>
                <c:manualLayout>
                  <c:x val="-5.4005638184115877E-2"/>
                  <c:y val="8.53050676357762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E00-4896-8052-60EB25EBB8BF}"/>
                </c:ext>
              </c:extLst>
            </c:dLbl>
            <c:dLbl>
              <c:idx val="3"/>
              <c:layout>
                <c:manualLayout>
                  <c:x val="0"/>
                  <c:y val="7.5159484893917014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456790123456789"/>
                      <c:h val="0.13931623931623932"/>
                    </c:manualLayout>
                  </c15:layout>
                </c:ext>
                <c:ext xmlns:c16="http://schemas.microsoft.com/office/drawing/2014/chart" uri="{C3380CC4-5D6E-409C-BE32-E72D297353CC}">
                  <c16:uniqueId val="{00000007-CE00-4896-8052-60EB25EBB8BF}"/>
                </c:ext>
              </c:extLst>
            </c:dLbl>
            <c:dLbl>
              <c:idx val="4"/>
              <c:layout>
                <c:manualLayout>
                  <c:x val="1.2507850214783192E-2"/>
                  <c:y val="-1.196576632545891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6946014487401082"/>
                      <c:h val="0.16153855281916765"/>
                    </c:manualLayout>
                  </c15:layout>
                </c:ext>
                <c:ext xmlns:c16="http://schemas.microsoft.com/office/drawing/2014/chart" uri="{C3380CC4-5D6E-409C-BE32-E72D297353CC}">
                  <c16:uniqueId val="{00000009-CE00-4896-8052-60EB25EBB8BF}"/>
                </c:ext>
              </c:extLst>
            </c:dLbl>
            <c:dLbl>
              <c:idx val="5"/>
              <c:layout>
                <c:manualLayout>
                  <c:x val="3.1690897760103205E-2"/>
                  <c:y val="-2.029072469684413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E00-4896-8052-60EB25EBB8B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公表ベース!$T$353:$T$358</c:f>
              <c:strCache>
                <c:ptCount val="6"/>
                <c:pt idx="0">
                  <c:v>大学からの派遣</c:v>
                </c:pt>
                <c:pt idx="1">
                  <c:v>自分から応募</c:v>
                </c:pt>
                <c:pt idx="2">
                  <c:v>大学からの紹介</c:v>
                </c:pt>
                <c:pt idx="3">
                  <c:v>友人などからの紹介</c:v>
                </c:pt>
                <c:pt idx="4">
                  <c:v>医師の就業斡旋を行う
団体・業者等の紹介</c:v>
                </c:pt>
                <c:pt idx="5">
                  <c:v>その他</c:v>
                </c:pt>
              </c:strCache>
            </c:strRef>
          </c:cat>
          <c:val>
            <c:numRef>
              <c:f>公表ベース!$U$353:$U$358</c:f>
              <c:numCache>
                <c:formatCode>General</c:formatCode>
                <c:ptCount val="6"/>
                <c:pt idx="0">
                  <c:v>412</c:v>
                </c:pt>
                <c:pt idx="1">
                  <c:v>29</c:v>
                </c:pt>
                <c:pt idx="2">
                  <c:v>17</c:v>
                </c:pt>
                <c:pt idx="3">
                  <c:v>18</c:v>
                </c:pt>
                <c:pt idx="4">
                  <c:v>94</c:v>
                </c:pt>
                <c:pt idx="5">
                  <c:v>29</c:v>
                </c:pt>
              </c:numCache>
            </c:numRef>
          </c:val>
          <c:extLst>
            <c:ext xmlns:c16="http://schemas.microsoft.com/office/drawing/2014/chart" uri="{C3380CC4-5D6E-409C-BE32-E72D297353CC}">
              <c16:uniqueId val="{0000000C-CE00-4896-8052-60EB25EBB8BF}"/>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40-48BE-920B-2E41DE77A2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40-48BE-920B-2E41DE77A2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40-48BE-920B-2E41DE77A2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040-48BE-920B-2E41DE77A2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040-48BE-920B-2E41DE77A29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040-48BE-920B-2E41DE77A29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040-48BE-920B-2E41DE77A29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040-48BE-920B-2E41DE77A29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040-48BE-920B-2E41DE77A291}"/>
              </c:ext>
            </c:extLst>
          </c:dPt>
          <c:dLbls>
            <c:dLbl>
              <c:idx val="0"/>
              <c:layout>
                <c:manualLayout>
                  <c:x val="1.7193622121979463E-2"/>
                  <c:y val="-0.18914352639715434"/>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CB0A49A1-6175-4D79-8B6A-269EE568629F}" type="CATEGORYNAME">
                      <a:rPr lang="ja-JP" altLang="en-US" sz="1050"/>
                      <a:pPr>
                        <a:defRPr/>
                      </a:pPr>
                      <a:t>[分類名]</a:t>
                    </a:fld>
                    <a:r>
                      <a:rPr lang="ja-JP" altLang="en-US" sz="1050" baseline="0"/>
                      <a:t>
</a:t>
                    </a:r>
                    <a:fld id="{A1CF2856-9A89-4027-B7C4-99C35D409982}" type="PERCENTAGE">
                      <a:rPr lang="en-US" altLang="ja-JP" sz="1050" baseline="0"/>
                      <a:pPr>
                        <a:defRPr/>
                      </a:pPr>
                      <a:t>[パーセンテージ]</a:t>
                    </a:fld>
                    <a:endParaRPr lang="ja-JP" altLang="en-US" sz="105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0501493751149132"/>
                      <c:h val="0.18061500344368003"/>
                    </c:manualLayout>
                  </c15:layout>
                  <c15:dlblFieldTable/>
                  <c15:showDataLabelsRange val="0"/>
                </c:ext>
                <c:ext xmlns:c16="http://schemas.microsoft.com/office/drawing/2014/chart" uri="{C3380CC4-5D6E-409C-BE32-E72D297353CC}">
                  <c16:uniqueId val="{00000001-4040-48BE-920B-2E41DE77A291}"/>
                </c:ext>
              </c:extLst>
            </c:dLbl>
            <c:dLbl>
              <c:idx val="8"/>
              <c:layout>
                <c:manualLayout>
                  <c:x val="-7.3088904864605803E-3"/>
                  <c:y val="-0.10303055306304169"/>
                </c:manualLayout>
              </c:layout>
              <c:tx>
                <c:rich>
                  <a:bodyPr/>
                  <a:lstStyle/>
                  <a:p>
                    <a:fld id="{8FB8A3B7-11F8-44DA-8F89-0ADC221D5D69}" type="CATEGORYNAME">
                      <a:rPr lang="ja-JP" altLang="en-US" sz="1050"/>
                      <a:pPr/>
                      <a:t>[分類名]</a:t>
                    </a:fld>
                    <a:r>
                      <a:rPr lang="ja-JP" altLang="en-US" sz="1050" baseline="0"/>
                      <a:t>
</a:t>
                    </a:r>
                    <a:fld id="{BDCDCEDF-27AF-4A48-9637-3B21AA15179E}" type="PERCENTAGE">
                      <a:rPr lang="en-US" altLang="ja-JP" sz="1050" baseline="0"/>
                      <a:pPr/>
                      <a:t>[パーセンテージ]</a:t>
                    </a:fld>
                    <a:endParaRPr lang="ja-JP" altLang="en-US" sz="105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4040-48BE-920B-2E41DE77A2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公表ベース!$T$157:$T$165</c:f>
              <c:strCache>
                <c:ptCount val="9"/>
                <c:pt idx="0">
                  <c:v>北海道</c:v>
                </c:pt>
                <c:pt idx="1">
                  <c:v>東北地方</c:v>
                </c:pt>
                <c:pt idx="2">
                  <c:v>関東地方</c:v>
                </c:pt>
                <c:pt idx="3">
                  <c:v>中部地方</c:v>
                </c:pt>
                <c:pt idx="4">
                  <c:v>近畿地方</c:v>
                </c:pt>
                <c:pt idx="5">
                  <c:v>中国地方</c:v>
                </c:pt>
                <c:pt idx="6">
                  <c:v>四国地方</c:v>
                </c:pt>
                <c:pt idx="7">
                  <c:v>九州・沖縄</c:v>
                </c:pt>
                <c:pt idx="8">
                  <c:v>行ってない</c:v>
                </c:pt>
              </c:strCache>
            </c:strRef>
          </c:cat>
          <c:val>
            <c:numRef>
              <c:f>公表ベース!$U$157:$U$165</c:f>
              <c:numCache>
                <c:formatCode>General</c:formatCode>
                <c:ptCount val="9"/>
                <c:pt idx="0">
                  <c:v>329</c:v>
                </c:pt>
                <c:pt idx="1">
                  <c:v>6</c:v>
                </c:pt>
                <c:pt idx="2">
                  <c:v>24</c:v>
                </c:pt>
                <c:pt idx="3">
                  <c:v>11</c:v>
                </c:pt>
                <c:pt idx="4">
                  <c:v>12</c:v>
                </c:pt>
                <c:pt idx="5">
                  <c:v>5</c:v>
                </c:pt>
                <c:pt idx="6">
                  <c:v>4</c:v>
                </c:pt>
                <c:pt idx="7">
                  <c:v>7</c:v>
                </c:pt>
                <c:pt idx="8">
                  <c:v>217</c:v>
                </c:pt>
              </c:numCache>
            </c:numRef>
          </c:val>
          <c:extLst>
            <c:ext xmlns:c16="http://schemas.microsoft.com/office/drawing/2014/chart" uri="{C3380CC4-5D6E-409C-BE32-E72D297353CC}">
              <c16:uniqueId val="{00000012-4040-48BE-920B-2E41DE77A29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E27-4596-A71F-DEC0EFF857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E27-4596-A71F-DEC0EFF857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E27-4596-A71F-DEC0EFF857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E27-4596-A71F-DEC0EFF857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E27-4596-A71F-DEC0EFF8577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E27-4596-A71F-DEC0EFF8577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27-4596-A71F-DEC0EFF8577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27-4596-A71F-DEC0EFF8577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27-4596-A71F-DEC0EFF8577C}"/>
              </c:ext>
            </c:extLst>
          </c:dPt>
          <c:dLbls>
            <c:dLbl>
              <c:idx val="0"/>
              <c:layout>
                <c:manualLayout>
                  <c:x val="3.2232188624138208E-2"/>
                  <c:y val="-1.576816370377282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5617BC1C-97D7-4E52-9FB4-6B492C493135}" type="CATEGORYNAME">
                      <a:rPr lang="ja-JP" altLang="en-US" sz="1050"/>
                      <a:pPr>
                        <a:defRPr/>
                      </a:pPr>
                      <a:t>[分類名]</a:t>
                    </a:fld>
                    <a:r>
                      <a:rPr lang="ja-JP" altLang="en-US" sz="1050" baseline="0"/>
                      <a:t>
</a:t>
                    </a:r>
                    <a:fld id="{9CE9FC55-5B25-4C6F-9634-7D03C82AECBD}" type="PERCENTAGE">
                      <a:rPr lang="en-US" altLang="ja-JP" sz="1050" baseline="0"/>
                      <a:pPr>
                        <a:defRPr/>
                      </a:pPr>
                      <a:t>[パーセンテージ]</a:t>
                    </a:fld>
                    <a:endParaRPr lang="ja-JP" altLang="en-US" sz="105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1362880292503476"/>
                      <c:h val="0.18513288072484119"/>
                    </c:manualLayout>
                  </c15:layout>
                  <c15:dlblFieldTable/>
                  <c15:showDataLabelsRange val="0"/>
                </c:ext>
                <c:ext xmlns:c16="http://schemas.microsoft.com/office/drawing/2014/chart" uri="{C3380CC4-5D6E-409C-BE32-E72D297353CC}">
                  <c16:uniqueId val="{00000001-DE27-4596-A71F-DEC0EFF8577C}"/>
                </c:ext>
              </c:extLst>
            </c:dLbl>
            <c:dLbl>
              <c:idx val="1"/>
              <c:layout>
                <c:manualLayout>
                  <c:x val="0.11231828948714759"/>
                  <c:y val="-7.344536265957170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8.8837064105027175E-2"/>
                      <c:h val="8.2912474196536468E-2"/>
                    </c:manualLayout>
                  </c15:layout>
                </c:ext>
                <c:ext xmlns:c16="http://schemas.microsoft.com/office/drawing/2014/chart" uri="{C3380CC4-5D6E-409C-BE32-E72D297353CC}">
                  <c16:uniqueId val="{00000003-DE27-4596-A71F-DEC0EFF8577C}"/>
                </c:ext>
              </c:extLst>
            </c:dLbl>
            <c:dLbl>
              <c:idx val="2"/>
              <c:layout>
                <c:manualLayout>
                  <c:x val="0.16107147162232471"/>
                  <c:y val="6.916579991304852E-4"/>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E27-4596-A71F-DEC0EFF8577C}"/>
                </c:ext>
              </c:extLst>
            </c:dLbl>
            <c:dLbl>
              <c:idx val="3"/>
              <c:layout>
                <c:manualLayout>
                  <c:x val="5.4269018671725656E-2"/>
                  <c:y val="3.1524037334510753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E27-4596-A71F-DEC0EFF8577C}"/>
                </c:ext>
              </c:extLst>
            </c:dLbl>
            <c:dLbl>
              <c:idx val="4"/>
              <c:layout>
                <c:manualLayout>
                  <c:x val="-1.3252681013448541E-2"/>
                  <c:y val="4.3047118774452121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DE27-4596-A71F-DEC0EFF8577C}"/>
                </c:ext>
              </c:extLst>
            </c:dLbl>
            <c:dLbl>
              <c:idx val="5"/>
              <c:layout>
                <c:manualLayout>
                  <c:x val="-7.4725782058166601E-2"/>
                  <c:y val="4.350230666463349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DE27-4596-A71F-DEC0EFF8577C}"/>
                </c:ext>
              </c:extLst>
            </c:dLbl>
            <c:dLbl>
              <c:idx val="6"/>
              <c:layout>
                <c:manualLayout>
                  <c:x val="-0.16361262485137565"/>
                  <c:y val="-1.7900263781382361E-4"/>
                </c:manualLayout>
              </c:layout>
              <c:showLegendKey val="0"/>
              <c:showVal val="0"/>
              <c:showCatName val="1"/>
              <c:showSerName val="0"/>
              <c:showPercent val="1"/>
              <c:showBubbleSize val="0"/>
              <c:extLst>
                <c:ext xmlns:c15="http://schemas.microsoft.com/office/drawing/2012/chart" uri="{CE6537A1-D6FC-4f65-9D91-7224C49458BB}">
                  <c15:layout>
                    <c:manualLayout>
                      <c:w val="9.5034998810029067E-2"/>
                      <c:h val="7.424114488858137E-2"/>
                    </c:manualLayout>
                  </c15:layout>
                </c:ext>
                <c:ext xmlns:c16="http://schemas.microsoft.com/office/drawing/2014/chart" uri="{C3380CC4-5D6E-409C-BE32-E72D297353CC}">
                  <c16:uniqueId val="{0000000D-DE27-4596-A71F-DEC0EFF8577C}"/>
                </c:ext>
              </c:extLst>
            </c:dLbl>
            <c:dLbl>
              <c:idx val="7"/>
              <c:layout>
                <c:manualLayout>
                  <c:x val="-0.16044354437924593"/>
                  <c:y val="-7.20239246755079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DE27-4596-A71F-DEC0EFF8577C}"/>
                </c:ext>
              </c:extLst>
            </c:dLbl>
            <c:dLbl>
              <c:idx val="8"/>
              <c:layout>
                <c:manualLayout>
                  <c:x val="-1.6800307261392936E-2"/>
                  <c:y val="-0.17210153421078386"/>
                </c:manualLayout>
              </c:layout>
              <c:tx>
                <c:rich>
                  <a:bodyPr/>
                  <a:lstStyle/>
                  <a:p>
                    <a:fld id="{DE7B7C82-32CC-4D75-8C0C-1F58E114BDAA}" type="CATEGORYNAME">
                      <a:rPr lang="ja-JP" altLang="en-US" sz="1050"/>
                      <a:pPr/>
                      <a:t>[分類名]</a:t>
                    </a:fld>
                    <a:r>
                      <a:rPr lang="ja-JP" altLang="en-US" sz="1050" baseline="0"/>
                      <a:t>
</a:t>
                    </a:r>
                    <a:fld id="{987B2CA7-B4BE-46D0-A152-3767512372E4}" type="PERCENTAGE">
                      <a:rPr lang="en-US" altLang="ja-JP" sz="1050" baseline="0"/>
                      <a:pPr/>
                      <a:t>[パーセンテージ]</a:t>
                    </a:fld>
                    <a:endParaRPr lang="ja-JP" altLang="en-US" sz="105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DE27-4596-A71F-DEC0EFF857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公表ベース!$T$196:$T$204</c:f>
              <c:strCache>
                <c:ptCount val="9"/>
                <c:pt idx="0">
                  <c:v>北海道</c:v>
                </c:pt>
                <c:pt idx="1">
                  <c:v>東北地方</c:v>
                </c:pt>
                <c:pt idx="2">
                  <c:v>関東地方</c:v>
                </c:pt>
                <c:pt idx="3">
                  <c:v>中部地方</c:v>
                </c:pt>
                <c:pt idx="4">
                  <c:v>近畿地方</c:v>
                </c:pt>
                <c:pt idx="5">
                  <c:v>中国地方</c:v>
                </c:pt>
                <c:pt idx="6">
                  <c:v>四国地方</c:v>
                </c:pt>
                <c:pt idx="7">
                  <c:v>九州・沖縄</c:v>
                </c:pt>
                <c:pt idx="8">
                  <c:v>行ってない</c:v>
                </c:pt>
              </c:strCache>
            </c:strRef>
          </c:cat>
          <c:val>
            <c:numRef>
              <c:f>公表ベース!$U$196:$U$204</c:f>
              <c:numCache>
                <c:formatCode>General</c:formatCode>
                <c:ptCount val="9"/>
                <c:pt idx="0">
                  <c:v>282</c:v>
                </c:pt>
                <c:pt idx="1">
                  <c:v>3</c:v>
                </c:pt>
                <c:pt idx="2">
                  <c:v>16</c:v>
                </c:pt>
                <c:pt idx="3">
                  <c:v>4</c:v>
                </c:pt>
                <c:pt idx="4">
                  <c:v>6</c:v>
                </c:pt>
                <c:pt idx="5">
                  <c:v>1</c:v>
                </c:pt>
                <c:pt idx="6">
                  <c:v>1</c:v>
                </c:pt>
                <c:pt idx="7">
                  <c:v>5</c:v>
                </c:pt>
                <c:pt idx="8">
                  <c:v>283</c:v>
                </c:pt>
              </c:numCache>
            </c:numRef>
          </c:val>
          <c:extLst>
            <c:ext xmlns:c16="http://schemas.microsoft.com/office/drawing/2014/chart" uri="{C3380CC4-5D6E-409C-BE32-E72D297353CC}">
              <c16:uniqueId val="{00000012-DE27-4596-A71F-DEC0EFF8577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02365439776341"/>
          <c:y val="0.14062999903707868"/>
          <c:w val="0.57762379702537181"/>
          <c:h val="0.799786795881284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6C-4D5D-AAB9-9044EEF78F6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6C-4D5D-AAB9-9044EEF78F6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6C-4D5D-AAB9-9044EEF78F6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6C-4D5D-AAB9-9044EEF78F62}"/>
              </c:ext>
            </c:extLst>
          </c:dPt>
          <c:dLbls>
            <c:dLbl>
              <c:idx val="0"/>
              <c:layout>
                <c:manualLayout>
                  <c:x val="-1.6703767292246364E-2"/>
                  <c:y val="3.536866598799160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A6C-4D5D-AAB9-9044EEF78F62}"/>
                </c:ext>
              </c:extLst>
            </c:dLbl>
            <c:dLbl>
              <c:idx val="1"/>
              <c:layout>
                <c:manualLayout>
                  <c:x val="-8.2800753991427389E-2"/>
                  <c:y val="-0.2349943114223082"/>
                </c:manualLayout>
              </c:layout>
              <c:tx>
                <c:rich>
                  <a:bodyPr/>
                  <a:lstStyle/>
                  <a:p>
                    <a:fld id="{D8987228-1B3F-4203-9004-A5D1B5675FC9}" type="CATEGORYNAME">
                      <a:rPr lang="ja-JP" altLang="en-US" sz="1050"/>
                      <a:pPr/>
                      <a:t>[分類名]</a:t>
                    </a:fld>
                    <a:r>
                      <a:rPr lang="ja-JP" altLang="en-US" sz="1050" baseline="0"/>
                      <a:t>
</a:t>
                    </a:r>
                    <a:fld id="{9B0B98E1-10F7-4D40-8168-53F4690B71C9}" type="PERCENTAGE">
                      <a:rPr lang="en-US" altLang="ja-JP" sz="1050" baseline="0"/>
                      <a:pPr/>
                      <a:t>[パーセンテージ]</a:t>
                    </a:fld>
                    <a:endParaRPr lang="ja-JP" altLang="en-US" sz="1050"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A6C-4D5D-AAB9-9044EEF78F62}"/>
                </c:ext>
              </c:extLst>
            </c:dLbl>
            <c:dLbl>
              <c:idx val="2"/>
              <c:layout>
                <c:manualLayout>
                  <c:x val="-5.4049322696943854E-2"/>
                  <c:y val="2.62100970065571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6C-4D5D-AAB9-9044EEF78F62}"/>
                </c:ext>
              </c:extLst>
            </c:dLbl>
            <c:dLbl>
              <c:idx val="3"/>
              <c:layout>
                <c:manualLayout>
                  <c:x val="-0.11203373721160607"/>
                  <c:y val="3.76767673630103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A6C-4D5D-AAB9-9044EEF78F6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公表ベース!$T$404:$T$407</c:f>
              <c:strCache>
                <c:ptCount val="4"/>
                <c:pt idx="0">
                  <c:v>週40時間未満</c:v>
                </c:pt>
                <c:pt idx="1">
                  <c:v>週40～60時間</c:v>
                </c:pt>
                <c:pt idx="2">
                  <c:v>週60～80時間</c:v>
                </c:pt>
                <c:pt idx="3">
                  <c:v>週80時間以上</c:v>
                </c:pt>
              </c:strCache>
            </c:strRef>
          </c:cat>
          <c:val>
            <c:numRef>
              <c:f>公表ベース!$U$404:$U$407</c:f>
              <c:numCache>
                <c:formatCode>General</c:formatCode>
                <c:ptCount val="4"/>
                <c:pt idx="0">
                  <c:v>100</c:v>
                </c:pt>
                <c:pt idx="1">
                  <c:v>316</c:v>
                </c:pt>
                <c:pt idx="2">
                  <c:v>181</c:v>
                </c:pt>
                <c:pt idx="3">
                  <c:v>30</c:v>
                </c:pt>
              </c:numCache>
            </c:numRef>
          </c:val>
          <c:extLst>
            <c:ext xmlns:c16="http://schemas.microsoft.com/office/drawing/2014/chart" uri="{C3380CC4-5D6E-409C-BE32-E72D297353CC}">
              <c16:uniqueId val="{00000008-AA6C-4D5D-AAB9-9044EEF78F62}"/>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18810148731409"/>
          <c:y val="0.15138865334140925"/>
          <c:w val="0.57762379702537181"/>
          <c:h val="0.799786795881284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A0-4E81-ABFA-44916E0914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A0-4E81-ABFA-44916E0914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A0-4E81-ABFA-44916E0914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A0-4E81-ABFA-44916E0914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A0-4E81-ABFA-44916E09145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9A0-4E81-ABFA-44916E09145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9A0-4E81-ABFA-44916E09145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9A0-4E81-ABFA-44916E091451}"/>
              </c:ext>
            </c:extLst>
          </c:dPt>
          <c:dLbls>
            <c:dLbl>
              <c:idx val="0"/>
              <c:layout>
                <c:manualLayout>
                  <c:x val="-0.12433692808863284"/>
                  <c:y val="0.170588077952391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9A0-4E81-ABFA-44916E091451}"/>
                </c:ext>
              </c:extLst>
            </c:dLbl>
            <c:dLbl>
              <c:idx val="1"/>
              <c:layout>
                <c:manualLayout>
                  <c:x val="-0.21360356418948137"/>
                  <c:y val="-0.1097136405422260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9A0-4E81-ABFA-44916E091451}"/>
                </c:ext>
              </c:extLst>
            </c:dLbl>
            <c:dLbl>
              <c:idx val="2"/>
              <c:layout>
                <c:manualLayout>
                  <c:x val="2.9619949230163138E-2"/>
                  <c:y val="-5.777728974238770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20229356362779"/>
                      <c:h val="0.18594148361820054"/>
                    </c:manualLayout>
                  </c15:layout>
                </c:ext>
                <c:ext xmlns:c16="http://schemas.microsoft.com/office/drawing/2014/chart" uri="{C3380CC4-5D6E-409C-BE32-E72D297353CC}">
                  <c16:uniqueId val="{00000005-19A0-4E81-ABFA-44916E091451}"/>
                </c:ext>
              </c:extLst>
            </c:dLbl>
            <c:dLbl>
              <c:idx val="3"/>
              <c:layout>
                <c:manualLayout>
                  <c:x val="0.18767988920117679"/>
                  <c:y val="-0.128061424885018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9A0-4E81-ABFA-44916E091451}"/>
                </c:ext>
              </c:extLst>
            </c:dLbl>
            <c:dLbl>
              <c:idx val="4"/>
              <c:layout>
                <c:manualLayout>
                  <c:x val="0.17090108200275164"/>
                  <c:y val="7.6914283622705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9A0-4E81-ABFA-44916E091451}"/>
                </c:ext>
              </c:extLst>
            </c:dLbl>
            <c:dLbl>
              <c:idx val="5"/>
              <c:layout>
                <c:manualLayout>
                  <c:x val="2.831960723853974E-2"/>
                  <c:y val="0.1358356799420686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980753130876259"/>
                      <c:h val="0.24225097355934561"/>
                    </c:manualLayout>
                  </c15:layout>
                </c:ext>
                <c:ext xmlns:c16="http://schemas.microsoft.com/office/drawing/2014/chart" uri="{C3380CC4-5D6E-409C-BE32-E72D297353CC}">
                  <c16:uniqueId val="{0000000B-19A0-4E81-ABFA-44916E091451}"/>
                </c:ext>
              </c:extLst>
            </c:dLbl>
            <c:dLbl>
              <c:idx val="6"/>
              <c:layout>
                <c:manualLayout>
                  <c:x val="6.8786910245421579E-2"/>
                  <c:y val="2.239368320861127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0280335620336624"/>
                      <c:h val="0.17208038920238491"/>
                    </c:manualLayout>
                  </c15:layout>
                </c:ext>
                <c:ext xmlns:c16="http://schemas.microsoft.com/office/drawing/2014/chart" uri="{C3380CC4-5D6E-409C-BE32-E72D297353CC}">
                  <c16:uniqueId val="{0000000D-19A0-4E81-ABFA-44916E091451}"/>
                </c:ext>
              </c:extLst>
            </c:dLbl>
            <c:dLbl>
              <c:idx val="7"/>
              <c:layout>
                <c:manualLayout>
                  <c:x val="8.7501533799970652E-2"/>
                  <c:y val="1.227878502323419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9A0-4E81-ABFA-44916E09145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公表ベース!$X$425:$X$432</c:f>
              <c:numCache>
                <c:formatCode>General</c:formatCode>
                <c:ptCount val="8"/>
              </c:numCache>
            </c:numRef>
          </c:cat>
          <c:val>
            <c:numRef>
              <c:f>公表ベース!$Y$425:$Y$432</c:f>
              <c:numCache>
                <c:formatCode>0.0%</c:formatCode>
                <c:ptCount val="8"/>
              </c:numCache>
            </c:numRef>
          </c:val>
          <c:extLst>
            <c:ext xmlns:c16="http://schemas.microsoft.com/office/drawing/2014/chart" uri="{C3380CC4-5D6E-409C-BE32-E72D297353CC}">
              <c16:uniqueId val="{00000010-19A0-4E81-ABFA-44916E091451}"/>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38842015470393"/>
          <c:y val="0.1478127802390716"/>
          <c:w val="0.57762379702537181"/>
          <c:h val="0.799786795881284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007-44EB-AA9A-58172FB918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007-44EB-AA9A-58172FB918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007-44EB-AA9A-58172FB918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007-44EB-AA9A-58172FB918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007-44EB-AA9A-58172FB9180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007-44EB-AA9A-58172FB9180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007-44EB-AA9A-58172FB9180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007-44EB-AA9A-58172FB91802}"/>
              </c:ext>
            </c:extLst>
          </c:dPt>
          <c:dLbls>
            <c:dLbl>
              <c:idx val="0"/>
              <c:layout>
                <c:manualLayout>
                  <c:x val="-0.23513867911685715"/>
                  <c:y val="-0.1380169291842048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6318550615308373"/>
                      <c:h val="0.24435557816891637"/>
                    </c:manualLayout>
                  </c15:layout>
                </c:ext>
                <c:ext xmlns:c16="http://schemas.microsoft.com/office/drawing/2014/chart" uri="{C3380CC4-5D6E-409C-BE32-E72D297353CC}">
                  <c16:uniqueId val="{00000001-D007-44EB-AA9A-58172FB91802}"/>
                </c:ext>
              </c:extLst>
            </c:dLbl>
            <c:dLbl>
              <c:idx val="1"/>
              <c:layout>
                <c:manualLayout>
                  <c:x val="3.2964774261379733E-3"/>
                  <c:y val="0.1372397838549672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9825041606156364"/>
                      <c:h val="0.2629665932941711"/>
                    </c:manualLayout>
                  </c15:layout>
                </c:ext>
                <c:ext xmlns:c16="http://schemas.microsoft.com/office/drawing/2014/chart" uri="{C3380CC4-5D6E-409C-BE32-E72D297353CC}">
                  <c16:uniqueId val="{00000003-D007-44EB-AA9A-58172FB91802}"/>
                </c:ext>
              </c:extLst>
            </c:dLbl>
            <c:dLbl>
              <c:idx val="2"/>
              <c:layout>
                <c:manualLayout>
                  <c:x val="0.10079370502755181"/>
                  <c:y val="0.1207076749988436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4242095368359088"/>
                      <c:h val="0.23598927709499334"/>
                    </c:manualLayout>
                  </c15:layout>
                </c:ext>
                <c:ext xmlns:c16="http://schemas.microsoft.com/office/drawing/2014/chart" uri="{C3380CC4-5D6E-409C-BE32-E72D297353CC}">
                  <c16:uniqueId val="{00000005-D007-44EB-AA9A-58172FB91802}"/>
                </c:ext>
              </c:extLst>
            </c:dLbl>
            <c:dLbl>
              <c:idx val="3"/>
              <c:layout>
                <c:manualLayout>
                  <c:x val="1.2154970220591434E-3"/>
                  <c:y val="0.1477174714513877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46873848196851325"/>
                      <c:h val="0.22063853117152021"/>
                    </c:manualLayout>
                  </c15:layout>
                </c:ext>
                <c:ext xmlns:c16="http://schemas.microsoft.com/office/drawing/2014/chart" uri="{C3380CC4-5D6E-409C-BE32-E72D297353CC}">
                  <c16:uniqueId val="{00000007-D007-44EB-AA9A-58172FB91802}"/>
                </c:ext>
              </c:extLst>
            </c:dLbl>
            <c:dLbl>
              <c:idx val="4"/>
              <c:layout>
                <c:manualLayout>
                  <c:x val="-0.14091438843927276"/>
                  <c:y val="1.056832620921772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191486785841691"/>
                      <c:h val="0.16147957587251141"/>
                    </c:manualLayout>
                  </c15:layout>
                </c:ext>
                <c:ext xmlns:c16="http://schemas.microsoft.com/office/drawing/2014/chart" uri="{C3380CC4-5D6E-409C-BE32-E72D297353CC}">
                  <c16:uniqueId val="{00000009-D007-44EB-AA9A-58172FB91802}"/>
                </c:ext>
              </c:extLst>
            </c:dLbl>
            <c:dLbl>
              <c:idx val="5"/>
              <c:layout>
                <c:manualLayout>
                  <c:x val="-3.30947175040254E-3"/>
                  <c:y val="-4.448799221771260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957320934797378"/>
                      <c:h val="0.16147957587251141"/>
                    </c:manualLayout>
                  </c15:layout>
                </c:ext>
                <c:ext xmlns:c16="http://schemas.microsoft.com/office/drawing/2014/chart" uri="{C3380CC4-5D6E-409C-BE32-E72D297353CC}">
                  <c16:uniqueId val="{0000000B-D007-44EB-AA9A-58172FB91802}"/>
                </c:ext>
              </c:extLst>
            </c:dLbl>
            <c:dLbl>
              <c:idx val="6"/>
              <c:layout>
                <c:manualLayout>
                  <c:x val="0.10566336059368341"/>
                  <c:y val="-1.4546562058710688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6947794967874611"/>
                      <c:h val="0.14549793078679077"/>
                    </c:manualLayout>
                  </c15:layout>
                </c:ext>
                <c:ext xmlns:c16="http://schemas.microsoft.com/office/drawing/2014/chart" uri="{C3380CC4-5D6E-409C-BE32-E72D297353CC}">
                  <c16:uniqueId val="{0000000D-D007-44EB-AA9A-58172FB91802}"/>
                </c:ext>
              </c:extLst>
            </c:dLbl>
            <c:dLbl>
              <c:idx val="7"/>
              <c:layout>
                <c:manualLayout>
                  <c:x val="0.21875099206402573"/>
                  <c:y val="6.602776364442725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007-44EB-AA9A-58172FB9180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公表ベース!$X$488:$X$495</c:f>
              <c:numCache>
                <c:formatCode>General</c:formatCode>
                <c:ptCount val="8"/>
              </c:numCache>
            </c:numRef>
          </c:cat>
          <c:val>
            <c:numRef>
              <c:f>公表ベース!$Y$488:$Y$495</c:f>
              <c:numCache>
                <c:formatCode>General</c:formatCode>
                <c:ptCount val="8"/>
              </c:numCache>
            </c:numRef>
          </c:val>
          <c:extLst>
            <c:ext xmlns:c16="http://schemas.microsoft.com/office/drawing/2014/chart" uri="{C3380CC4-5D6E-409C-BE32-E72D297353CC}">
              <c16:uniqueId val="{00000010-D007-44EB-AA9A-58172FB91802}"/>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38842015470393"/>
          <c:y val="0.1478127802390716"/>
          <c:w val="0.57762379702537181"/>
          <c:h val="0.799786795881284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46-4FB2-98F3-1222AEA0DD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46-4FB2-98F3-1222AEA0DD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46-4FB2-98F3-1222AEA0DD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46-4FB2-98F3-1222AEA0DD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446-4FB2-98F3-1222AEA0DDE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46-4FB2-98F3-1222AEA0DDE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446-4FB2-98F3-1222AEA0DDE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446-4FB2-98F3-1222AEA0DDE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446-4FB2-98F3-1222AEA0DDEE}"/>
              </c:ext>
            </c:extLst>
          </c:dPt>
          <c:dLbls>
            <c:dLbl>
              <c:idx val="0"/>
              <c:layout>
                <c:manualLayout>
                  <c:x val="-0.16761296574617668"/>
                  <c:y val="0.17586540543140927"/>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836011835535812"/>
                      <c:h val="0.17551800148993185"/>
                    </c:manualLayout>
                  </c15:layout>
                </c:ext>
                <c:ext xmlns:c16="http://schemas.microsoft.com/office/drawing/2014/chart" uri="{C3380CC4-5D6E-409C-BE32-E72D297353CC}">
                  <c16:uniqueId val="{00000001-5446-4FB2-98F3-1222AEA0DDEE}"/>
                </c:ext>
              </c:extLst>
            </c:dLbl>
            <c:dLbl>
              <c:idx val="1"/>
              <c:layout>
                <c:manualLayout>
                  <c:x val="-0.15290235682950445"/>
                  <c:y val="-6.36966478108235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446-4FB2-98F3-1222AEA0DDEE}"/>
                </c:ext>
              </c:extLst>
            </c:dLbl>
            <c:dLbl>
              <c:idx val="2"/>
              <c:layout>
                <c:manualLayout>
                  <c:x val="-0.11287736589007238"/>
                  <c:y val="-7.735346065134714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013842383984162"/>
                      <c:h val="0.19400941770350352"/>
                    </c:manualLayout>
                  </c15:layout>
                </c:ext>
                <c:ext xmlns:c16="http://schemas.microsoft.com/office/drawing/2014/chart" uri="{C3380CC4-5D6E-409C-BE32-E72D297353CC}">
                  <c16:uniqueId val="{00000005-5446-4FB2-98F3-1222AEA0DDEE}"/>
                </c:ext>
              </c:extLst>
            </c:dLbl>
            <c:dLbl>
              <c:idx val="3"/>
              <c:layout>
                <c:manualLayout>
                  <c:x val="9.6486122455603188E-2"/>
                  <c:y val="-5.9261459026754004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013802818598607"/>
                      <c:h val="0.23630666933959821"/>
                    </c:manualLayout>
                  </c15:layout>
                </c:ext>
                <c:ext xmlns:c16="http://schemas.microsoft.com/office/drawing/2014/chart" uri="{C3380CC4-5D6E-409C-BE32-E72D297353CC}">
                  <c16:uniqueId val="{00000007-5446-4FB2-98F3-1222AEA0DDEE}"/>
                </c:ext>
              </c:extLst>
            </c:dLbl>
            <c:dLbl>
              <c:idx val="4"/>
              <c:layout>
                <c:manualLayout>
                  <c:x val="1.4486089999837628E-3"/>
                  <c:y val="3.254598178384553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8698145153001886"/>
                      <c:h val="0.24967963685691094"/>
                    </c:manualLayout>
                  </c15:layout>
                </c:ext>
                <c:ext xmlns:c16="http://schemas.microsoft.com/office/drawing/2014/chart" uri="{C3380CC4-5D6E-409C-BE32-E72D297353CC}">
                  <c16:uniqueId val="{00000009-5446-4FB2-98F3-1222AEA0DDEE}"/>
                </c:ext>
              </c:extLst>
            </c:dLbl>
            <c:dLbl>
              <c:idx val="5"/>
              <c:layout>
                <c:manualLayout>
                  <c:x val="-8.7861814169105396E-3"/>
                  <c:y val="9.926497159122488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385217480675294"/>
                      <c:h val="0.16943944094199276"/>
                    </c:manualLayout>
                  </c15:layout>
                </c:ext>
                <c:ext xmlns:c16="http://schemas.microsoft.com/office/drawing/2014/chart" uri="{C3380CC4-5D6E-409C-BE32-E72D297353CC}">
                  <c16:uniqueId val="{0000000B-5446-4FB2-98F3-1222AEA0DDEE}"/>
                </c:ext>
              </c:extLst>
            </c:dLbl>
            <c:dLbl>
              <c:idx val="6"/>
              <c:layout>
                <c:manualLayout>
                  <c:x val="3.1780333847520249E-2"/>
                  <c:y val="9.130984069683084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0919634115336975"/>
                      <c:h val="0.20199486863026342"/>
                    </c:manualLayout>
                  </c15:layout>
                </c:ext>
                <c:ext xmlns:c16="http://schemas.microsoft.com/office/drawing/2014/chart" uri="{C3380CC4-5D6E-409C-BE32-E72D297353CC}">
                  <c16:uniqueId val="{0000000D-5446-4FB2-98F3-1222AEA0DDEE}"/>
                </c:ext>
              </c:extLst>
            </c:dLbl>
            <c:dLbl>
              <c:idx val="7"/>
              <c:layout>
                <c:manualLayout>
                  <c:x val="8.0392572759979561E-2"/>
                  <c:y val="1.296989229941276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5331481551601956"/>
                      <c:h val="0.22269025818072646"/>
                    </c:manualLayout>
                  </c15:layout>
                </c:ext>
                <c:ext xmlns:c16="http://schemas.microsoft.com/office/drawing/2014/chart" uri="{C3380CC4-5D6E-409C-BE32-E72D297353CC}">
                  <c16:uniqueId val="{0000000F-5446-4FB2-98F3-1222AEA0DDEE}"/>
                </c:ext>
              </c:extLst>
            </c:dLbl>
            <c:dLbl>
              <c:idx val="8"/>
              <c:layout>
                <c:manualLayout>
                  <c:x val="5.6621234510506047E-2"/>
                  <c:y val="0.147307622134576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446-4FB2-98F3-1222AEA0DDE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公表ベース!$X$705:$X$713</c:f>
              <c:numCache>
                <c:formatCode>General</c:formatCode>
                <c:ptCount val="9"/>
              </c:numCache>
            </c:numRef>
          </c:cat>
          <c:val>
            <c:numRef>
              <c:f>公表ベース!$Y$705:$Y$713</c:f>
              <c:numCache>
                <c:formatCode>General</c:formatCode>
                <c:ptCount val="9"/>
              </c:numCache>
            </c:numRef>
          </c:val>
          <c:extLst>
            <c:ext xmlns:c16="http://schemas.microsoft.com/office/drawing/2014/chart" uri="{C3380CC4-5D6E-409C-BE32-E72D297353CC}">
              <c16:uniqueId val="{00000012-5446-4FB2-98F3-1222AEA0DDEE}"/>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10943576421148"/>
          <c:y val="0.16718952676096882"/>
          <c:w val="0.57762379702537181"/>
          <c:h val="0.799786795881284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63-4189-9178-842FAFCA6A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663-4189-9178-842FAFCA6A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663-4189-9178-842FAFCA6A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63-4189-9178-842FAFCA6A7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663-4189-9178-842FAFCA6A7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663-4189-9178-842FAFCA6A7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663-4189-9178-842FAFCA6A7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663-4189-9178-842FAFCA6A7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663-4189-9178-842FAFCA6A7E}"/>
              </c:ext>
            </c:extLst>
          </c:dPt>
          <c:dLbls>
            <c:dLbl>
              <c:idx val="0"/>
              <c:layout>
                <c:manualLayout>
                  <c:x val="2.3280191227777518E-2"/>
                  <c:y val="-8.942700348401050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63-4189-9178-842FAFCA6A7E}"/>
                </c:ext>
              </c:extLst>
            </c:dLbl>
            <c:dLbl>
              <c:idx val="1"/>
              <c:layout>
                <c:manualLayout>
                  <c:x val="0.12074914873280378"/>
                  <c:y val="-1.546152013318628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05713888735408"/>
                      <c:h val="0.1852956984072395"/>
                    </c:manualLayout>
                  </c15:layout>
                </c:ext>
                <c:ext xmlns:c16="http://schemas.microsoft.com/office/drawing/2014/chart" uri="{C3380CC4-5D6E-409C-BE32-E72D297353CC}">
                  <c16:uniqueId val="{00000003-6663-4189-9178-842FAFCA6A7E}"/>
                </c:ext>
              </c:extLst>
            </c:dLbl>
            <c:dLbl>
              <c:idx val="2"/>
              <c:layout>
                <c:manualLayout>
                  <c:x val="-9.4231839567262998E-2"/>
                  <c:y val="-1.63889112804279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663-4189-9178-842FAFCA6A7E}"/>
                </c:ext>
              </c:extLst>
            </c:dLbl>
            <c:dLbl>
              <c:idx val="3"/>
              <c:layout>
                <c:manualLayout>
                  <c:x val="-4.3631396758108877E-2"/>
                  <c:y val="6.03724771057462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63-4189-9178-842FAFCA6A7E}"/>
                </c:ext>
              </c:extLst>
            </c:dLbl>
            <c:dLbl>
              <c:idx val="4"/>
              <c:layout>
                <c:manualLayout>
                  <c:x val="-1.0392619051947077E-2"/>
                  <c:y val="5.52078580277199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663-4189-9178-842FAFCA6A7E}"/>
                </c:ext>
              </c:extLst>
            </c:dLbl>
            <c:dLbl>
              <c:idx val="5"/>
              <c:layout>
                <c:manualLayout>
                  <c:x val="-4.557947436139944E-2"/>
                  <c:y val="5.54510931010208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663-4189-9178-842FAFCA6A7E}"/>
                </c:ext>
              </c:extLst>
            </c:dLbl>
            <c:dLbl>
              <c:idx val="6"/>
              <c:layout>
                <c:manualLayout>
                  <c:x val="-3.4144425800778304E-2"/>
                  <c:y val="1.1816281817618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663-4189-9178-842FAFCA6A7E}"/>
                </c:ext>
              </c:extLst>
            </c:dLbl>
            <c:dLbl>
              <c:idx val="7"/>
              <c:layout>
                <c:manualLayout>
                  <c:x val="-7.0533170657697067E-4"/>
                  <c:y val="-2.328891279905557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663-4189-9178-842FAFCA6A7E}"/>
                </c:ext>
              </c:extLst>
            </c:dLbl>
            <c:dLbl>
              <c:idx val="8"/>
              <c:layout>
                <c:manualLayout>
                  <c:x val="4.5149508184565458E-2"/>
                  <c:y val="-2.94244199688971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6663-4189-9178-842FAFCA6A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公表ベース!$T$778:$T$786</c:f>
              <c:strCache>
                <c:ptCount val="9"/>
                <c:pt idx="0">
                  <c:v>家族の同意がある</c:v>
                </c:pt>
                <c:pt idx="1">
                  <c:v>単身赴任者への
配慮が充実している
（休日・帰省費用等）</c:v>
                </c:pt>
                <c:pt idx="2">
                  <c:v>子どもの教育環境が整備されている</c:v>
                </c:pt>
                <c:pt idx="3">
                  <c:v>現在の生活圏から
交通の便が良く
距離が近い</c:v>
                </c:pt>
                <c:pt idx="4">
                  <c:v>商業・娯楽施設が
充実している</c:v>
                </c:pt>
                <c:pt idx="5">
                  <c:v>配偶者の居住地・
勤務地である</c:v>
                </c:pt>
                <c:pt idx="6">
                  <c:v>特になし</c:v>
                </c:pt>
                <c:pt idx="7">
                  <c:v>出身地である</c:v>
                </c:pt>
                <c:pt idx="8">
                  <c:v>その他</c:v>
                </c:pt>
              </c:strCache>
            </c:strRef>
          </c:cat>
          <c:val>
            <c:numRef>
              <c:f>公表ベース!$U$778:$U$786</c:f>
              <c:numCache>
                <c:formatCode>General</c:formatCode>
                <c:ptCount val="9"/>
                <c:pt idx="0">
                  <c:v>235</c:v>
                </c:pt>
                <c:pt idx="1">
                  <c:v>83</c:v>
                </c:pt>
                <c:pt idx="2">
                  <c:v>78</c:v>
                </c:pt>
                <c:pt idx="3">
                  <c:v>64</c:v>
                </c:pt>
                <c:pt idx="4">
                  <c:v>17</c:v>
                </c:pt>
                <c:pt idx="5">
                  <c:v>33</c:v>
                </c:pt>
                <c:pt idx="6">
                  <c:v>53</c:v>
                </c:pt>
                <c:pt idx="7">
                  <c:v>19</c:v>
                </c:pt>
                <c:pt idx="8">
                  <c:v>15</c:v>
                </c:pt>
              </c:numCache>
            </c:numRef>
          </c:val>
          <c:extLst>
            <c:ext xmlns:c16="http://schemas.microsoft.com/office/drawing/2014/chart" uri="{C3380CC4-5D6E-409C-BE32-E72D297353CC}">
              <c16:uniqueId val="{00000012-6663-4189-9178-842FAFCA6A7E}"/>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675013155053649"/>
          <c:y val="0.1845665405444458"/>
          <c:w val="0.57762379702537181"/>
          <c:h val="0.7997867958812841"/>
        </c:manualLayout>
      </c:layout>
      <c:pieChart>
        <c:varyColors val="1"/>
        <c:ser>
          <c:idx val="0"/>
          <c:order val="0"/>
          <c:explosion val="3"/>
          <c:dPt>
            <c:idx val="0"/>
            <c:bubble3D val="0"/>
            <c:explosion val="0"/>
            <c:spPr>
              <a:solidFill>
                <a:schemeClr val="accent1"/>
              </a:solidFill>
              <a:ln w="19050">
                <a:solidFill>
                  <a:schemeClr val="lt1"/>
                </a:solidFill>
              </a:ln>
              <a:effectLst/>
            </c:spPr>
            <c:extLst>
              <c:ext xmlns:c16="http://schemas.microsoft.com/office/drawing/2014/chart" uri="{C3380CC4-5D6E-409C-BE32-E72D297353CC}">
                <c16:uniqueId val="{00000001-BECA-45D6-ACA7-3678574CC278}"/>
              </c:ext>
            </c:extLst>
          </c:dPt>
          <c:dPt>
            <c:idx val="1"/>
            <c:bubble3D val="0"/>
            <c:explosion val="0"/>
            <c:spPr>
              <a:solidFill>
                <a:schemeClr val="accent2"/>
              </a:solidFill>
              <a:ln w="19050">
                <a:solidFill>
                  <a:schemeClr val="lt1"/>
                </a:solidFill>
              </a:ln>
              <a:effectLst/>
            </c:spPr>
            <c:extLst>
              <c:ext xmlns:c16="http://schemas.microsoft.com/office/drawing/2014/chart" uri="{C3380CC4-5D6E-409C-BE32-E72D297353CC}">
                <c16:uniqueId val="{00000003-BECA-45D6-ACA7-3678574CC278}"/>
              </c:ext>
            </c:extLst>
          </c:dPt>
          <c:dPt>
            <c:idx val="2"/>
            <c:bubble3D val="0"/>
            <c:explosion val="0"/>
            <c:spPr>
              <a:solidFill>
                <a:schemeClr val="accent3"/>
              </a:solidFill>
              <a:ln w="19050">
                <a:solidFill>
                  <a:schemeClr val="lt1"/>
                </a:solidFill>
              </a:ln>
              <a:effectLst/>
            </c:spPr>
            <c:extLst>
              <c:ext xmlns:c16="http://schemas.microsoft.com/office/drawing/2014/chart" uri="{C3380CC4-5D6E-409C-BE32-E72D297353CC}">
                <c16:uniqueId val="{00000005-BECA-45D6-ACA7-3678574CC278}"/>
              </c:ext>
            </c:extLst>
          </c:dPt>
          <c:dPt>
            <c:idx val="3"/>
            <c:bubble3D val="0"/>
            <c:explosion val="0"/>
            <c:spPr>
              <a:solidFill>
                <a:schemeClr val="accent4"/>
              </a:solidFill>
              <a:ln w="19050">
                <a:solidFill>
                  <a:schemeClr val="lt1"/>
                </a:solidFill>
              </a:ln>
              <a:effectLst/>
            </c:spPr>
            <c:extLst>
              <c:ext xmlns:c16="http://schemas.microsoft.com/office/drawing/2014/chart" uri="{C3380CC4-5D6E-409C-BE32-E72D297353CC}">
                <c16:uniqueId val="{00000007-BECA-45D6-ACA7-3678574CC278}"/>
              </c:ext>
            </c:extLst>
          </c:dPt>
          <c:dPt>
            <c:idx val="4"/>
            <c:bubble3D val="0"/>
            <c:explosion val="0"/>
            <c:spPr>
              <a:solidFill>
                <a:schemeClr val="accent5"/>
              </a:solidFill>
              <a:ln w="19050">
                <a:solidFill>
                  <a:schemeClr val="lt1"/>
                </a:solidFill>
              </a:ln>
              <a:effectLst/>
            </c:spPr>
            <c:extLst>
              <c:ext xmlns:c16="http://schemas.microsoft.com/office/drawing/2014/chart" uri="{C3380CC4-5D6E-409C-BE32-E72D297353CC}">
                <c16:uniqueId val="{00000009-BECA-45D6-ACA7-3678574CC278}"/>
              </c:ext>
            </c:extLst>
          </c:dPt>
          <c:dPt>
            <c:idx val="5"/>
            <c:bubble3D val="0"/>
            <c:explosion val="0"/>
            <c:spPr>
              <a:solidFill>
                <a:schemeClr val="accent6"/>
              </a:solidFill>
              <a:ln w="19050">
                <a:solidFill>
                  <a:schemeClr val="lt1"/>
                </a:solidFill>
              </a:ln>
              <a:effectLst/>
            </c:spPr>
            <c:extLst>
              <c:ext xmlns:c16="http://schemas.microsoft.com/office/drawing/2014/chart" uri="{C3380CC4-5D6E-409C-BE32-E72D297353CC}">
                <c16:uniqueId val="{0000000B-BECA-45D6-ACA7-3678574CC278}"/>
              </c:ext>
            </c:extLst>
          </c:dPt>
          <c:dPt>
            <c:idx val="6"/>
            <c:bubble3D val="0"/>
            <c:explosion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ECA-45D6-ACA7-3678574CC278}"/>
              </c:ext>
            </c:extLst>
          </c:dPt>
          <c:dLbls>
            <c:dLbl>
              <c:idx val="0"/>
              <c:layout>
                <c:manualLayout>
                  <c:x val="5.9174393270787162E-2"/>
                  <c:y val="-0.3605479622310346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ECA-45D6-ACA7-3678574CC278}"/>
                </c:ext>
              </c:extLst>
            </c:dLbl>
            <c:dLbl>
              <c:idx val="1"/>
              <c:layout>
                <c:manualLayout>
                  <c:x val="-3.6490584802193748E-2"/>
                  <c:y val="1.046179527377649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ECA-45D6-ACA7-3678574CC278}"/>
                </c:ext>
              </c:extLst>
            </c:dLbl>
            <c:dLbl>
              <c:idx val="2"/>
              <c:layout>
                <c:manualLayout>
                  <c:x val="-6.3278557754592998E-2"/>
                  <c:y val="4.555278970260653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ECA-45D6-ACA7-3678574CC278}"/>
                </c:ext>
              </c:extLst>
            </c:dLbl>
            <c:dLbl>
              <c:idx val="3"/>
              <c:layout>
                <c:manualLayout>
                  <c:x val="-1.0770410332822098E-3"/>
                  <c:y val="7.003817702659079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153401621577131"/>
                      <c:h val="0.12491262114977279"/>
                    </c:manualLayout>
                  </c15:layout>
                </c:ext>
                <c:ext xmlns:c16="http://schemas.microsoft.com/office/drawing/2014/chart" uri="{C3380CC4-5D6E-409C-BE32-E72D297353CC}">
                  <c16:uniqueId val="{00000007-BECA-45D6-ACA7-3678574CC278}"/>
                </c:ext>
              </c:extLst>
            </c:dLbl>
            <c:dLbl>
              <c:idx val="4"/>
              <c:layout>
                <c:manualLayout>
                  <c:x val="-4.093296248060925E-2"/>
                  <c:y val="4.132490146612305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ECA-45D6-ACA7-3678574CC278}"/>
                </c:ext>
              </c:extLst>
            </c:dLbl>
            <c:dLbl>
              <c:idx val="5"/>
              <c:layout>
                <c:manualLayout>
                  <c:x val="2.8434453099990563E-2"/>
                  <c:y val="-2.58715594476220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932662241913141"/>
                      <c:h val="0.15164259083914478"/>
                    </c:manualLayout>
                  </c15:layout>
                </c:ext>
                <c:ext xmlns:c16="http://schemas.microsoft.com/office/drawing/2014/chart" uri="{C3380CC4-5D6E-409C-BE32-E72D297353CC}">
                  <c16:uniqueId val="{0000000B-BECA-45D6-ACA7-3678574CC278}"/>
                </c:ext>
              </c:extLst>
            </c:dLbl>
            <c:dLbl>
              <c:idx val="6"/>
              <c:layout>
                <c:manualLayout>
                  <c:x val="8.8434088405433833E-2"/>
                  <c:y val="-2.961607075643524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ECA-45D6-ACA7-3678574CC27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公表ベース!$T$822:$T$828</c:f>
              <c:strCache>
                <c:ptCount val="7"/>
                <c:pt idx="0">
                  <c:v>自分と交代できる医師がいる</c:v>
                </c:pt>
                <c:pt idx="1">
                  <c:v>病院の施設・設備が整っている</c:v>
                </c:pt>
                <c:pt idx="2">
                  <c:v>他病院とのネットワーク・連携がある</c:v>
                </c:pt>
                <c:pt idx="3">
                  <c:v>地域の中核病院である</c:v>
                </c:pt>
                <c:pt idx="4">
                  <c:v>特になし</c:v>
                </c:pt>
                <c:pt idx="5">
                  <c:v>入院のない小規模の
診療所である</c:v>
                </c:pt>
                <c:pt idx="6">
                  <c:v>その他</c:v>
                </c:pt>
              </c:strCache>
            </c:strRef>
          </c:cat>
          <c:val>
            <c:numRef>
              <c:f>公表ベース!$U$822:$U$828</c:f>
              <c:numCache>
                <c:formatCode>General</c:formatCode>
                <c:ptCount val="7"/>
                <c:pt idx="0">
                  <c:v>367</c:v>
                </c:pt>
                <c:pt idx="1">
                  <c:v>96</c:v>
                </c:pt>
                <c:pt idx="2">
                  <c:v>42</c:v>
                </c:pt>
                <c:pt idx="3">
                  <c:v>38</c:v>
                </c:pt>
                <c:pt idx="4">
                  <c:v>33</c:v>
                </c:pt>
                <c:pt idx="5">
                  <c:v>10</c:v>
                </c:pt>
                <c:pt idx="6">
                  <c:v>11</c:v>
                </c:pt>
              </c:numCache>
            </c:numRef>
          </c:val>
          <c:extLst>
            <c:ext xmlns:c16="http://schemas.microsoft.com/office/drawing/2014/chart" uri="{C3380CC4-5D6E-409C-BE32-E72D297353CC}">
              <c16:uniqueId val="{0000000E-BECA-45D6-ACA7-3678574CC278}"/>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428417205352281"/>
          <c:y val="0.1244240625502338"/>
          <c:w val="0.57762379702537181"/>
          <c:h val="0.799786795881284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EA-4531-B224-AD1EC64C1C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DEA-4531-B224-AD1EC64C1C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DEA-4531-B224-AD1EC64C1CB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EA-4531-B224-AD1EC64C1CB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DEA-4531-B224-AD1EC64C1CB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DEA-4531-B224-AD1EC64C1CB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DEA-4531-B224-AD1EC64C1CB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DEA-4531-B224-AD1EC64C1CB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DEA-4531-B224-AD1EC64C1CBE}"/>
              </c:ext>
            </c:extLst>
          </c:dPt>
          <c:dLbls>
            <c:dLbl>
              <c:idx val="0"/>
              <c:layout>
                <c:manualLayout>
                  <c:x val="-0.12523928243095991"/>
                  <c:y val="7.42364917776037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DEA-4531-B224-AD1EC64C1CBE}"/>
                </c:ext>
              </c:extLst>
            </c:dLbl>
            <c:dLbl>
              <c:idx val="1"/>
              <c:layout>
                <c:manualLayout>
                  <c:x val="-9.4805858347992281E-2"/>
                  <c:y val="-7.678742088236077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706590968726891"/>
                      <c:h val="0.15787381537715647"/>
                    </c:manualLayout>
                  </c15:layout>
                </c:ext>
                <c:ext xmlns:c16="http://schemas.microsoft.com/office/drawing/2014/chart" uri="{C3380CC4-5D6E-409C-BE32-E72D297353CC}">
                  <c16:uniqueId val="{00000003-8DEA-4531-B224-AD1EC64C1CBE}"/>
                </c:ext>
              </c:extLst>
            </c:dLbl>
            <c:dLbl>
              <c:idx val="2"/>
              <c:layout>
                <c:manualLayout>
                  <c:x val="-9.8680004715337422E-4"/>
                  <c:y val="8.518775645410833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6762128283511782"/>
                      <c:h val="0.15536794881947458"/>
                    </c:manualLayout>
                  </c15:layout>
                </c:ext>
                <c:ext xmlns:c16="http://schemas.microsoft.com/office/drawing/2014/chart" uri="{C3380CC4-5D6E-409C-BE32-E72D297353CC}">
                  <c16:uniqueId val="{00000005-8DEA-4531-B224-AD1EC64C1CBE}"/>
                </c:ext>
              </c:extLst>
            </c:dLbl>
            <c:dLbl>
              <c:idx val="3"/>
              <c:layout>
                <c:manualLayout>
                  <c:x val="-0.12866857341295684"/>
                  <c:y val="0.151304274986070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DEA-4531-B224-AD1EC64C1CBE}"/>
                </c:ext>
              </c:extLst>
            </c:dLbl>
            <c:dLbl>
              <c:idx val="4"/>
              <c:layout>
                <c:manualLayout>
                  <c:x val="-0.13085500197768912"/>
                  <c:y val="7.01596250328401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DEA-4531-B224-AD1EC64C1CBE}"/>
                </c:ext>
              </c:extLst>
            </c:dLbl>
            <c:dLbl>
              <c:idx val="5"/>
              <c:layout>
                <c:manualLayout>
                  <c:x val="-2.3630043880164254E-2"/>
                  <c:y val="-5.75772075201577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DEA-4531-B224-AD1EC64C1CBE}"/>
                </c:ext>
              </c:extLst>
            </c:dLbl>
            <c:dLbl>
              <c:idx val="6"/>
              <c:layout>
                <c:manualLayout>
                  <c:x val="-6.2045881988508057E-2"/>
                  <c:y val="5.4160823140743414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034596821004588"/>
                      <c:h val="0.10536749802324889"/>
                    </c:manualLayout>
                  </c15:layout>
                </c:ext>
                <c:ext xmlns:c16="http://schemas.microsoft.com/office/drawing/2014/chart" uri="{C3380CC4-5D6E-409C-BE32-E72D297353CC}">
                  <c16:uniqueId val="{0000000D-8DEA-4531-B224-AD1EC64C1CBE}"/>
                </c:ext>
              </c:extLst>
            </c:dLbl>
            <c:dLbl>
              <c:idx val="8"/>
              <c:layout>
                <c:manualLayout>
                  <c:x val="5.6110505850872322E-2"/>
                  <c:y val="1.0944554518483011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8DEA-4531-B224-AD1EC64C1CB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公表ベース!$T$868:$T$876</c:f>
              <c:strCache>
                <c:ptCount val="9"/>
                <c:pt idx="0">
                  <c:v>給与や手当が良い</c:v>
                </c:pt>
                <c:pt idx="1">
                  <c:v>医師の勤務環境改善に
取り組まれている</c:v>
                </c:pt>
                <c:pt idx="2">
                  <c:v>医師の勤務環境に対し
て地域の理解がある</c:v>
                </c:pt>
                <c:pt idx="3">
                  <c:v>居住環境が整備
されている</c:v>
                </c:pt>
                <c:pt idx="4">
                  <c:v>一定の期間である</c:v>
                </c:pt>
                <c:pt idx="5">
                  <c:v>定年退職後である</c:v>
                </c:pt>
                <c:pt idx="6">
                  <c:v>専門医取得後である</c:v>
                </c:pt>
                <c:pt idx="7">
                  <c:v>特になし</c:v>
                </c:pt>
                <c:pt idx="8">
                  <c:v>その他</c:v>
                </c:pt>
              </c:strCache>
            </c:strRef>
          </c:cat>
          <c:val>
            <c:numRef>
              <c:f>公表ベース!$U$868:$U$876</c:f>
              <c:numCache>
                <c:formatCode>General</c:formatCode>
                <c:ptCount val="9"/>
                <c:pt idx="0">
                  <c:v>269</c:v>
                </c:pt>
                <c:pt idx="1">
                  <c:v>145</c:v>
                </c:pt>
                <c:pt idx="2">
                  <c:v>76</c:v>
                </c:pt>
                <c:pt idx="3">
                  <c:v>27</c:v>
                </c:pt>
                <c:pt idx="4">
                  <c:v>24</c:v>
                </c:pt>
                <c:pt idx="5">
                  <c:v>18</c:v>
                </c:pt>
                <c:pt idx="6">
                  <c:v>5</c:v>
                </c:pt>
                <c:pt idx="7">
                  <c:v>24</c:v>
                </c:pt>
                <c:pt idx="8">
                  <c:v>10</c:v>
                </c:pt>
              </c:numCache>
            </c:numRef>
          </c:val>
          <c:extLst>
            <c:ext xmlns:c16="http://schemas.microsoft.com/office/drawing/2014/chart" uri="{C3380CC4-5D6E-409C-BE32-E72D297353CC}">
              <c16:uniqueId val="{00000012-8DEA-4531-B224-AD1EC64C1CBE}"/>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43265316620484"/>
          <c:y val="0.17931140556041408"/>
          <c:w val="0.57762379702537181"/>
          <c:h val="0.799786795881284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DEF-4563-8EF1-EE4F02F85B6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DEF-4563-8EF1-EE4F02F85B6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DEF-4563-8EF1-EE4F02F85B6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DEF-4563-8EF1-EE4F02F85B6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DEF-4563-8EF1-EE4F02F85B6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DEF-4563-8EF1-EE4F02F85B6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DEF-4563-8EF1-EE4F02F85B6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DEF-4563-8EF1-EE4F02F85B61}"/>
              </c:ext>
            </c:extLst>
          </c:dPt>
          <c:dLbls>
            <c:dLbl>
              <c:idx val="0"/>
              <c:layout>
                <c:manualLayout>
                  <c:x val="1.7812913316034858E-2"/>
                  <c:y val="-6.866114828448819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EF-4563-8EF1-EE4F02F85B61}"/>
                </c:ext>
              </c:extLst>
            </c:dLbl>
            <c:dLbl>
              <c:idx val="1"/>
              <c:layout>
                <c:manualLayout>
                  <c:x val="0.17797214107722101"/>
                  <c:y val="-6.590776200451503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09009610339882"/>
                      <c:h val="0.24219036316189235"/>
                    </c:manualLayout>
                  </c15:layout>
                </c:ext>
                <c:ext xmlns:c16="http://schemas.microsoft.com/office/drawing/2014/chart" uri="{C3380CC4-5D6E-409C-BE32-E72D297353CC}">
                  <c16:uniqueId val="{00000003-ADEF-4563-8EF1-EE4F02F85B61}"/>
                </c:ext>
              </c:extLst>
            </c:dLbl>
            <c:dLbl>
              <c:idx val="2"/>
              <c:layout>
                <c:manualLayout>
                  <c:x val="2.513386864303245E-2"/>
                  <c:y val="-3.773464988102259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053892395676058"/>
                      <c:h val="0.20309778249118582"/>
                    </c:manualLayout>
                  </c15:layout>
                </c:ext>
                <c:ext xmlns:c16="http://schemas.microsoft.com/office/drawing/2014/chart" uri="{C3380CC4-5D6E-409C-BE32-E72D297353CC}">
                  <c16:uniqueId val="{00000005-ADEF-4563-8EF1-EE4F02F85B61}"/>
                </c:ext>
              </c:extLst>
            </c:dLbl>
            <c:dLbl>
              <c:idx val="3"/>
              <c:layout>
                <c:manualLayout>
                  <c:x val="-4.8260968919128844E-2"/>
                  <c:y val="-3.66267363582745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DEF-4563-8EF1-EE4F02F85B61}"/>
                </c:ext>
              </c:extLst>
            </c:dLbl>
            <c:dLbl>
              <c:idx val="4"/>
              <c:layout>
                <c:manualLayout>
                  <c:x val="-7.5259749188577515E-2"/>
                  <c:y val="2.075342187150440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DEF-4563-8EF1-EE4F02F85B61}"/>
                </c:ext>
              </c:extLst>
            </c:dLbl>
            <c:dLbl>
              <c:idx val="5"/>
              <c:layout>
                <c:manualLayout>
                  <c:x val="-1.154945349542329E-2"/>
                  <c:y val="2.483996522198945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703503030933952"/>
                      <c:h val="0.16057845127713216"/>
                    </c:manualLayout>
                  </c15:layout>
                </c:ext>
                <c:ext xmlns:c16="http://schemas.microsoft.com/office/drawing/2014/chart" uri="{C3380CC4-5D6E-409C-BE32-E72D297353CC}">
                  <c16:uniqueId val="{0000000B-ADEF-4563-8EF1-EE4F02F85B61}"/>
                </c:ext>
              </c:extLst>
            </c:dLbl>
            <c:dLbl>
              <c:idx val="6"/>
              <c:layout>
                <c:manualLayout>
                  <c:x val="3.3797318966963068E-4"/>
                  <c:y val="-1.123039923529052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1215276908510408"/>
                      <c:h val="0.14200296397478859"/>
                    </c:manualLayout>
                  </c15:layout>
                </c:ext>
                <c:ext xmlns:c16="http://schemas.microsoft.com/office/drawing/2014/chart" uri="{C3380CC4-5D6E-409C-BE32-E72D297353CC}">
                  <c16:uniqueId val="{0000000D-ADEF-4563-8EF1-EE4F02F85B61}"/>
                </c:ext>
              </c:extLst>
            </c:dLbl>
            <c:dLbl>
              <c:idx val="7"/>
              <c:layout>
                <c:manualLayout>
                  <c:x val="3.7698181483639487E-2"/>
                  <c:y val="-2.663034635644410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DEF-4563-8EF1-EE4F02F85B6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公表ベース!$T$920:$T$927</c:f>
              <c:strCache>
                <c:ptCount val="8"/>
                <c:pt idx="0">
                  <c:v>幅広い症例を
経験できた</c:v>
                </c:pt>
                <c:pt idx="1">
                  <c:v>患者、住民から必要と
される充実感がある
（患者との距離が近い）</c:v>
                </c:pt>
                <c:pt idx="2">
                  <c:v>診療に対する
裁量が大きい
（任される部分が多い）</c:v>
                </c:pt>
                <c:pt idx="3">
                  <c:v>給与が良い</c:v>
                </c:pt>
                <c:pt idx="4">
                  <c:v>特になし</c:v>
                </c:pt>
                <c:pt idx="5">
                  <c:v>環境が良い（地域、
自然、子どもの成長等）</c:v>
                </c:pt>
                <c:pt idx="6">
                  <c:v>地域（住民）からの
支援や理解がある</c:v>
                </c:pt>
                <c:pt idx="7">
                  <c:v>その他</c:v>
                </c:pt>
              </c:strCache>
            </c:strRef>
          </c:cat>
          <c:val>
            <c:numRef>
              <c:f>公表ベース!$U$920:$U$927</c:f>
              <c:numCache>
                <c:formatCode>General</c:formatCode>
                <c:ptCount val="8"/>
                <c:pt idx="0">
                  <c:v>213</c:v>
                </c:pt>
                <c:pt idx="1">
                  <c:v>126</c:v>
                </c:pt>
                <c:pt idx="2">
                  <c:v>96</c:v>
                </c:pt>
                <c:pt idx="3">
                  <c:v>55</c:v>
                </c:pt>
                <c:pt idx="4">
                  <c:v>57</c:v>
                </c:pt>
                <c:pt idx="5">
                  <c:v>34</c:v>
                </c:pt>
                <c:pt idx="6">
                  <c:v>6</c:v>
                </c:pt>
                <c:pt idx="7">
                  <c:v>11</c:v>
                </c:pt>
              </c:numCache>
            </c:numRef>
          </c:val>
          <c:extLst>
            <c:ext xmlns:c16="http://schemas.microsoft.com/office/drawing/2014/chart" uri="{C3380CC4-5D6E-409C-BE32-E72D297353CC}">
              <c16:uniqueId val="{00000010-ADEF-4563-8EF1-EE4F02F85B61}"/>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xdr:col>
      <xdr:colOff>92178</xdr:colOff>
      <xdr:row>350</xdr:row>
      <xdr:rowOff>180975</xdr:rowOff>
    </xdr:from>
    <xdr:to>
      <xdr:col>14</xdr:col>
      <xdr:colOff>440404</xdr:colOff>
      <xdr:row>372</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295275</xdr:colOff>
      <xdr:row>400</xdr:row>
      <xdr:rowOff>43006</xdr:rowOff>
    </xdr:from>
    <xdr:to>
      <xdr:col>17</xdr:col>
      <xdr:colOff>30726</xdr:colOff>
      <xdr:row>420</xdr:row>
      <xdr:rowOff>102054</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417059</xdr:colOff>
      <xdr:row>422</xdr:row>
      <xdr:rowOff>115054</xdr:rowOff>
    </xdr:from>
    <xdr:to>
      <xdr:col>24</xdr:col>
      <xdr:colOff>245806</xdr:colOff>
      <xdr:row>441</xdr:row>
      <xdr:rowOff>163871</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92178</xdr:colOff>
      <xdr:row>486</xdr:row>
      <xdr:rowOff>163058</xdr:rowOff>
    </xdr:from>
    <xdr:to>
      <xdr:col>23</xdr:col>
      <xdr:colOff>531756</xdr:colOff>
      <xdr:row>503</xdr:row>
      <xdr:rowOff>143387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30725</xdr:colOff>
      <xdr:row>703</xdr:row>
      <xdr:rowOff>112664</xdr:rowOff>
    </xdr:from>
    <xdr:to>
      <xdr:col>23</xdr:col>
      <xdr:colOff>450645</xdr:colOff>
      <xdr:row>723</xdr:row>
      <xdr:rowOff>40970</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122904</xdr:colOff>
      <xdr:row>771</xdr:row>
      <xdr:rowOff>9761</xdr:rowOff>
    </xdr:from>
    <xdr:to>
      <xdr:col>18</xdr:col>
      <xdr:colOff>153629</xdr:colOff>
      <xdr:row>793</xdr:row>
      <xdr:rowOff>111814</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122904</xdr:colOff>
      <xdr:row>815</xdr:row>
      <xdr:rowOff>137080</xdr:rowOff>
    </xdr:from>
    <xdr:to>
      <xdr:col>18</xdr:col>
      <xdr:colOff>399435</xdr:colOff>
      <xdr:row>838</xdr:row>
      <xdr:rowOff>101319</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112662</xdr:colOff>
      <xdr:row>864</xdr:row>
      <xdr:rowOff>89646</xdr:rowOff>
    </xdr:from>
    <xdr:to>
      <xdr:col>18</xdr:col>
      <xdr:colOff>399435</xdr:colOff>
      <xdr:row>887</xdr:row>
      <xdr:rowOff>24594</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297017</xdr:colOff>
      <xdr:row>917</xdr:row>
      <xdr:rowOff>43860</xdr:rowOff>
    </xdr:from>
    <xdr:to>
      <xdr:col>18</xdr:col>
      <xdr:colOff>317500</xdr:colOff>
      <xdr:row>939</xdr:row>
      <xdr:rowOff>146896</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315451</xdr:colOff>
      <xdr:row>151</xdr:row>
      <xdr:rowOff>194596</xdr:rowOff>
    </xdr:from>
    <xdr:to>
      <xdr:col>18</xdr:col>
      <xdr:colOff>583790</xdr:colOff>
      <xdr:row>176</xdr:row>
      <xdr:rowOff>143387</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315451</xdr:colOff>
      <xdr:row>193</xdr:row>
      <xdr:rowOff>71694</xdr:rowOff>
    </xdr:from>
    <xdr:to>
      <xdr:col>18</xdr:col>
      <xdr:colOff>563305</xdr:colOff>
      <xdr:row>218</xdr:row>
      <xdr:rowOff>102420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5集計表"/>
      <sheetName val="★男女別"/>
      <sheetName val="★年齢階層別"/>
      <sheetName val="★Ｈ２５入力表"/>
      <sheetName val="手持ち用（問１５）"/>
      <sheetName val="Ｈ２３入力表"/>
      <sheetName val="H23病院"/>
    </sheetNames>
    <sheetDataSet>
      <sheetData sheetId="0"/>
      <sheetData sheetId="1"/>
      <sheetData sheetId="2"/>
      <sheetData sheetId="3">
        <row r="780">
          <cell r="AA780">
            <v>6</v>
          </cell>
          <cell r="BM780">
            <v>332</v>
          </cell>
        </row>
        <row r="792">
          <cell r="CR792">
            <v>87</v>
          </cell>
        </row>
        <row r="796">
          <cell r="CN796">
            <v>221</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BF1222"/>
  <sheetViews>
    <sheetView showGridLines="0" tabSelected="1" view="pageBreakPreview" topLeftCell="A34" zoomScale="93" zoomScaleNormal="100" zoomScaleSheetLayoutView="93" workbookViewId="0">
      <selection activeCell="R220" sqref="R220"/>
    </sheetView>
  </sheetViews>
  <sheetFormatPr defaultRowHeight="13.5" x14ac:dyDescent="0.15"/>
  <cols>
    <col min="1" max="1" width="1.25" style="1" customWidth="1"/>
    <col min="2" max="2" width="4.625" style="2" customWidth="1"/>
    <col min="3" max="4" width="2.625" style="2" customWidth="1"/>
    <col min="5" max="5" width="10.625" style="2" customWidth="1"/>
    <col min="6" max="19" width="8.625" style="2" customWidth="1"/>
    <col min="20" max="20" width="8.625" style="1" customWidth="1"/>
    <col min="21" max="21" width="5.875" style="4" customWidth="1"/>
    <col min="22" max="22" width="5.875" style="1" customWidth="1"/>
    <col min="23" max="23" width="27" style="1" customWidth="1"/>
    <col min="24" max="24" width="3.5" style="1" bestFit="1" customWidth="1"/>
    <col min="25" max="28" width="9.5" style="1" bestFit="1" customWidth="1"/>
    <col min="29" max="29" width="8.5" style="1" bestFit="1" customWidth="1"/>
    <col min="30" max="30" width="3.125" style="1" customWidth="1"/>
    <col min="31" max="37" width="9.5" style="1" bestFit="1" customWidth="1"/>
    <col min="38" max="39" width="8.5" style="1" bestFit="1" customWidth="1"/>
    <col min="40" max="40" width="4.5" style="5" bestFit="1" customWidth="1"/>
    <col min="41" max="41" width="9.125" style="1" bestFit="1" customWidth="1"/>
    <col min="42" max="43" width="9" style="1"/>
    <col min="44" max="44" width="9.125" style="1" bestFit="1" customWidth="1"/>
    <col min="45" max="16384" width="9" style="1"/>
  </cols>
  <sheetData>
    <row r="1" spans="1:41" ht="20.25" customHeight="1" x14ac:dyDescent="0.15">
      <c r="A1" s="519" t="s">
        <v>11</v>
      </c>
      <c r="B1" s="519"/>
      <c r="C1" s="519"/>
      <c r="D1" s="519"/>
      <c r="E1" s="519"/>
      <c r="F1" s="519"/>
      <c r="G1" s="519"/>
      <c r="H1" s="519"/>
      <c r="I1" s="519"/>
      <c r="J1" s="519"/>
      <c r="K1" s="519"/>
      <c r="L1" s="519"/>
      <c r="M1" s="519"/>
      <c r="N1" s="519"/>
      <c r="O1" s="519"/>
      <c r="P1" s="519"/>
      <c r="Q1" s="519"/>
      <c r="R1" s="519"/>
      <c r="S1" s="3"/>
    </row>
    <row r="2" spans="1:41" x14ac:dyDescent="0.15">
      <c r="R2" s="6" t="s">
        <v>12</v>
      </c>
      <c r="S2" s="6"/>
    </row>
    <row r="3" spans="1:41" x14ac:dyDescent="0.15">
      <c r="R3" s="6"/>
      <c r="S3" s="6"/>
    </row>
    <row r="4" spans="1:41" x14ac:dyDescent="0.15">
      <c r="B4" s="7" t="s">
        <v>13</v>
      </c>
      <c r="R4" s="6"/>
      <c r="S4" s="6"/>
    </row>
    <row r="5" spans="1:41" x14ac:dyDescent="0.15">
      <c r="B5" s="1" t="s">
        <v>14</v>
      </c>
      <c r="R5" s="6"/>
      <c r="S5" s="6"/>
    </row>
    <row r="6" spans="1:41" x14ac:dyDescent="0.15">
      <c r="B6" s="1"/>
      <c r="R6" s="6"/>
      <c r="S6" s="6"/>
    </row>
    <row r="7" spans="1:41" x14ac:dyDescent="0.15">
      <c r="B7" s="7" t="s">
        <v>15</v>
      </c>
      <c r="R7" s="6"/>
      <c r="S7" s="6"/>
    </row>
    <row r="8" spans="1:41" x14ac:dyDescent="0.15">
      <c r="B8" s="1" t="s">
        <v>16</v>
      </c>
      <c r="R8" s="6"/>
      <c r="S8" s="6"/>
    </row>
    <row r="9" spans="1:41" x14ac:dyDescent="0.15">
      <c r="B9" s="1"/>
      <c r="R9" s="6"/>
      <c r="S9" s="6"/>
    </row>
    <row r="10" spans="1:41" x14ac:dyDescent="0.15">
      <c r="B10" s="1"/>
      <c r="C10" s="383" t="s">
        <v>17</v>
      </c>
      <c r="D10" s="520"/>
      <c r="E10" s="520"/>
      <c r="F10" s="520"/>
      <c r="G10" s="520"/>
      <c r="H10" s="520"/>
      <c r="I10" s="520"/>
      <c r="J10" s="520"/>
      <c r="K10" s="520"/>
      <c r="L10" s="521"/>
      <c r="M10" s="8">
        <v>45</v>
      </c>
      <c r="T10" s="6"/>
      <c r="U10" s="9"/>
      <c r="V10" s="6"/>
      <c r="AN10" s="1"/>
      <c r="AO10" s="5"/>
    </row>
    <row r="11" spans="1:41" x14ac:dyDescent="0.15">
      <c r="B11" s="1"/>
      <c r="C11" s="380" t="s">
        <v>18</v>
      </c>
      <c r="D11" s="522"/>
      <c r="E11" s="522"/>
      <c r="F11" s="522"/>
      <c r="G11" s="522"/>
      <c r="H11" s="522"/>
      <c r="I11" s="522"/>
      <c r="J11" s="522"/>
      <c r="K11" s="522"/>
      <c r="L11" s="523"/>
      <c r="M11" s="8">
        <v>5</v>
      </c>
      <c r="T11" s="6"/>
      <c r="U11" s="9"/>
      <c r="V11" s="6"/>
      <c r="AN11" s="1"/>
      <c r="AO11" s="5"/>
    </row>
    <row r="12" spans="1:41" x14ac:dyDescent="0.15">
      <c r="B12" s="1"/>
      <c r="C12" s="383" t="s">
        <v>19</v>
      </c>
      <c r="D12" s="520"/>
      <c r="E12" s="520"/>
      <c r="F12" s="520"/>
      <c r="G12" s="520"/>
      <c r="H12" s="520"/>
      <c r="I12" s="520"/>
      <c r="J12" s="520"/>
      <c r="K12" s="520"/>
      <c r="L12" s="521"/>
      <c r="M12" s="8">
        <v>25</v>
      </c>
      <c r="T12" s="6"/>
      <c r="U12" s="9"/>
      <c r="V12" s="6"/>
      <c r="AN12" s="1"/>
      <c r="AO12" s="5"/>
    </row>
    <row r="13" spans="1:41" x14ac:dyDescent="0.15">
      <c r="B13" s="1"/>
      <c r="R13" s="6"/>
      <c r="S13" s="6"/>
    </row>
    <row r="14" spans="1:41" x14ac:dyDescent="0.15">
      <c r="B14" s="7" t="s">
        <v>20</v>
      </c>
      <c r="R14" s="6"/>
      <c r="S14" s="6"/>
    </row>
    <row r="15" spans="1:41" x14ac:dyDescent="0.15">
      <c r="B15" s="1" t="s">
        <v>21</v>
      </c>
      <c r="R15" s="6"/>
      <c r="S15" s="6"/>
    </row>
    <row r="16" spans="1:41" x14ac:dyDescent="0.15">
      <c r="B16" s="1" t="s">
        <v>22</v>
      </c>
      <c r="R16" s="6"/>
      <c r="S16" s="6"/>
    </row>
    <row r="17" spans="2:23" x14ac:dyDescent="0.15">
      <c r="B17" s="1"/>
      <c r="R17" s="6"/>
      <c r="S17" s="6"/>
    </row>
    <row r="18" spans="2:23" x14ac:dyDescent="0.15">
      <c r="B18" s="7" t="s">
        <v>23</v>
      </c>
      <c r="R18" s="6"/>
      <c r="S18" s="6"/>
    </row>
    <row r="19" spans="2:23" x14ac:dyDescent="0.15">
      <c r="B19" s="1" t="s">
        <v>24</v>
      </c>
      <c r="R19" s="6"/>
      <c r="S19" s="6"/>
    </row>
    <row r="20" spans="2:23" x14ac:dyDescent="0.15">
      <c r="B20" s="1"/>
      <c r="R20" s="6"/>
      <c r="S20" s="6"/>
    </row>
    <row r="21" spans="2:23" x14ac:dyDescent="0.15">
      <c r="R21" s="6"/>
      <c r="S21" s="6"/>
    </row>
    <row r="22" spans="2:23" ht="14.25" thickBot="1" x14ac:dyDescent="0.2">
      <c r="B22" s="10" t="s">
        <v>25</v>
      </c>
      <c r="F22" s="11"/>
    </row>
    <row r="23" spans="2:23" x14ac:dyDescent="0.15">
      <c r="D23" s="524"/>
      <c r="E23" s="525"/>
      <c r="F23" s="444" t="s">
        <v>26</v>
      </c>
      <c r="G23" s="455"/>
      <c r="H23" s="455"/>
      <c r="I23" s="456"/>
      <c r="J23" s="452" t="s">
        <v>27</v>
      </c>
      <c r="K23" s="449"/>
      <c r="L23" s="449"/>
      <c r="M23" s="449"/>
      <c r="N23" s="386" t="s">
        <v>28</v>
      </c>
      <c r="O23" s="386"/>
      <c r="P23" s="386"/>
      <c r="Q23" s="387"/>
      <c r="R23" s="12"/>
      <c r="S23" s="12"/>
      <c r="T23" s="2"/>
      <c r="U23" s="13"/>
      <c r="V23" s="2"/>
      <c r="W23" s="2"/>
    </row>
    <row r="24" spans="2:23" x14ac:dyDescent="0.15">
      <c r="D24" s="526"/>
      <c r="E24" s="527"/>
      <c r="F24" s="14"/>
      <c r="G24" s="15" t="s">
        <v>29</v>
      </c>
      <c r="H24" s="16" t="s">
        <v>30</v>
      </c>
      <c r="I24" s="17" t="s">
        <v>31</v>
      </c>
      <c r="J24" s="18"/>
      <c r="K24" s="15" t="s">
        <v>29</v>
      </c>
      <c r="L24" s="16" t="s">
        <v>30</v>
      </c>
      <c r="M24" s="16" t="s">
        <v>31</v>
      </c>
      <c r="N24" s="19"/>
      <c r="O24" s="15" t="s">
        <v>29</v>
      </c>
      <c r="P24" s="16" t="s">
        <v>30</v>
      </c>
      <c r="Q24" s="16" t="s">
        <v>31</v>
      </c>
      <c r="R24" s="20"/>
      <c r="S24" s="20"/>
      <c r="T24" s="2"/>
      <c r="U24" s="13"/>
      <c r="V24" s="2"/>
      <c r="W24" s="2"/>
    </row>
    <row r="25" spans="2:23" x14ac:dyDescent="0.15">
      <c r="D25" s="509" t="s">
        <v>32</v>
      </c>
      <c r="E25" s="528"/>
      <c r="F25" s="21">
        <f>SUM(G25:I25)</f>
        <v>1901</v>
      </c>
      <c r="G25" s="22">
        <v>139</v>
      </c>
      <c r="H25" s="22">
        <v>569</v>
      </c>
      <c r="I25" s="23">
        <v>1193</v>
      </c>
      <c r="J25" s="24">
        <f>SUM(K25:M25)</f>
        <v>1755</v>
      </c>
      <c r="K25" s="22">
        <v>139</v>
      </c>
      <c r="L25" s="22">
        <v>619</v>
      </c>
      <c r="M25" s="22">
        <v>997</v>
      </c>
      <c r="N25" s="24">
        <f>SUM(O25:Q25)</f>
        <v>1779</v>
      </c>
      <c r="O25" s="25">
        <v>126</v>
      </c>
      <c r="P25" s="25">
        <v>612</v>
      </c>
      <c r="Q25" s="25">
        <v>1041</v>
      </c>
      <c r="R25" s="6"/>
      <c r="S25" s="6"/>
      <c r="T25" s="2"/>
      <c r="U25" s="13"/>
      <c r="V25" s="2"/>
      <c r="W25" s="2"/>
    </row>
    <row r="26" spans="2:23" x14ac:dyDescent="0.15">
      <c r="D26" s="439" t="s">
        <v>33</v>
      </c>
      <c r="E26" s="528"/>
      <c r="F26" s="21">
        <f>SUM(G26:I26)</f>
        <v>627</v>
      </c>
      <c r="G26" s="22">
        <v>66</v>
      </c>
      <c r="H26" s="22">
        <v>129</v>
      </c>
      <c r="I26" s="23">
        <v>432</v>
      </c>
      <c r="J26" s="24">
        <f>SUM(K26:M26)</f>
        <v>670</v>
      </c>
      <c r="K26" s="22">
        <v>61</v>
      </c>
      <c r="L26" s="22">
        <v>186</v>
      </c>
      <c r="M26" s="22">
        <v>423</v>
      </c>
      <c r="N26" s="26">
        <f>SUM(O26:Q26)</f>
        <v>711</v>
      </c>
      <c r="O26" s="25">
        <v>76</v>
      </c>
      <c r="P26" s="25">
        <v>218</v>
      </c>
      <c r="Q26" s="25">
        <v>417</v>
      </c>
      <c r="R26" s="6"/>
      <c r="S26" s="6"/>
      <c r="T26" s="2"/>
      <c r="U26" s="13"/>
      <c r="V26" s="2"/>
      <c r="W26" s="2"/>
    </row>
    <row r="27" spans="2:23" x14ac:dyDescent="0.15">
      <c r="D27" s="529" t="s">
        <v>34</v>
      </c>
      <c r="E27" s="27" t="s">
        <v>35</v>
      </c>
      <c r="F27" s="28">
        <f>G27+H27+I27</f>
        <v>55</v>
      </c>
      <c r="G27" s="29">
        <v>55</v>
      </c>
      <c r="H27" s="29">
        <v>0</v>
      </c>
      <c r="I27" s="30">
        <v>0</v>
      </c>
      <c r="J27" s="31">
        <f>K27+L27+M27</f>
        <v>50</v>
      </c>
      <c r="K27" s="32">
        <v>50</v>
      </c>
      <c r="L27" s="32">
        <v>0</v>
      </c>
      <c r="M27" s="32">
        <v>0</v>
      </c>
      <c r="N27" s="33">
        <f>O27+P27+Q27</f>
        <v>67</v>
      </c>
      <c r="O27" s="29">
        <v>67</v>
      </c>
      <c r="P27" s="29">
        <v>0</v>
      </c>
      <c r="Q27" s="29">
        <v>0</v>
      </c>
      <c r="R27" s="6"/>
      <c r="S27" s="6"/>
      <c r="T27" s="2"/>
      <c r="U27" s="13"/>
      <c r="V27" s="2"/>
      <c r="W27" s="2"/>
    </row>
    <row r="28" spans="2:23" x14ac:dyDescent="0.15">
      <c r="D28" s="530"/>
      <c r="E28" s="34" t="s">
        <v>36</v>
      </c>
      <c r="F28" s="28">
        <f>G28+H28+I28</f>
        <v>86</v>
      </c>
      <c r="G28" s="29">
        <v>11</v>
      </c>
      <c r="H28" s="29">
        <v>0</v>
      </c>
      <c r="I28" s="30">
        <v>75</v>
      </c>
      <c r="J28" s="31">
        <f>K28+L28+M28</f>
        <v>59</v>
      </c>
      <c r="K28" s="32">
        <v>11</v>
      </c>
      <c r="L28" s="32">
        <v>0</v>
      </c>
      <c r="M28" s="32">
        <v>48</v>
      </c>
      <c r="N28" s="33">
        <f>O28+P28+Q28</f>
        <v>82</v>
      </c>
      <c r="O28" s="29">
        <v>9</v>
      </c>
      <c r="P28" s="29">
        <v>0</v>
      </c>
      <c r="Q28" s="29">
        <v>73</v>
      </c>
      <c r="R28" s="6"/>
      <c r="S28" s="6"/>
      <c r="T28" s="2"/>
      <c r="U28" s="13"/>
      <c r="V28" s="2"/>
      <c r="W28" s="2"/>
    </row>
    <row r="29" spans="2:23" x14ac:dyDescent="0.15">
      <c r="D29" s="530"/>
      <c r="E29" s="34" t="s">
        <v>37</v>
      </c>
      <c r="F29" s="28">
        <f>G29+H29+I29</f>
        <v>221</v>
      </c>
      <c r="G29" s="29">
        <v>0</v>
      </c>
      <c r="H29" s="29">
        <v>37</v>
      </c>
      <c r="I29" s="30">
        <v>184</v>
      </c>
      <c r="J29" s="31">
        <f>K29+L29+M29</f>
        <v>205</v>
      </c>
      <c r="K29" s="32">
        <v>0</v>
      </c>
      <c r="L29" s="32">
        <v>26</v>
      </c>
      <c r="M29" s="32">
        <v>179</v>
      </c>
      <c r="N29" s="33">
        <f>O29+P29+Q29</f>
        <v>199</v>
      </c>
      <c r="O29" s="29">
        <v>0</v>
      </c>
      <c r="P29" s="29">
        <v>34</v>
      </c>
      <c r="Q29" s="29">
        <v>165</v>
      </c>
      <c r="R29" s="6"/>
      <c r="S29" s="6"/>
      <c r="T29" s="2"/>
      <c r="U29" s="13"/>
      <c r="V29" s="2"/>
      <c r="W29" s="2"/>
    </row>
    <row r="30" spans="2:23" x14ac:dyDescent="0.15">
      <c r="D30" s="530"/>
      <c r="E30" s="34" t="s">
        <v>38</v>
      </c>
      <c r="F30" s="28">
        <f>G30+H30+I30</f>
        <v>265</v>
      </c>
      <c r="G30" s="29">
        <v>0</v>
      </c>
      <c r="H30" s="29">
        <v>92</v>
      </c>
      <c r="I30" s="30">
        <v>173</v>
      </c>
      <c r="J30" s="31">
        <f>K30+L30+M30</f>
        <v>356</v>
      </c>
      <c r="K30" s="32">
        <v>0</v>
      </c>
      <c r="L30" s="32">
        <v>160</v>
      </c>
      <c r="M30" s="32">
        <v>196</v>
      </c>
      <c r="N30" s="33">
        <f>O30+P30+Q30</f>
        <v>251</v>
      </c>
      <c r="O30" s="29">
        <v>0</v>
      </c>
      <c r="P30" s="29">
        <v>117</v>
      </c>
      <c r="Q30" s="29">
        <v>134</v>
      </c>
      <c r="R30" s="6"/>
      <c r="S30" s="6"/>
      <c r="T30" s="2"/>
      <c r="U30" s="13"/>
      <c r="V30" s="2"/>
      <c r="W30" s="2"/>
    </row>
    <row r="31" spans="2:23" x14ac:dyDescent="0.15">
      <c r="D31" s="530"/>
      <c r="E31" s="34" t="s">
        <v>39</v>
      </c>
      <c r="F31" s="28">
        <f>G31+H31+I31</f>
        <v>0</v>
      </c>
      <c r="G31" s="29">
        <v>0</v>
      </c>
      <c r="H31" s="29">
        <v>0</v>
      </c>
      <c r="I31" s="30">
        <v>0</v>
      </c>
      <c r="J31" s="31">
        <f>K31+L31+M31</f>
        <v>0</v>
      </c>
      <c r="K31" s="32">
        <v>0</v>
      </c>
      <c r="L31" s="32">
        <v>0</v>
      </c>
      <c r="M31" s="32"/>
      <c r="N31" s="33">
        <f>O31+P31+Q31</f>
        <v>112</v>
      </c>
      <c r="O31" s="29">
        <v>0</v>
      </c>
      <c r="P31" s="29">
        <v>67</v>
      </c>
      <c r="Q31" s="29">
        <v>45</v>
      </c>
      <c r="R31" s="6"/>
      <c r="S31" s="6"/>
      <c r="T31" s="2"/>
      <c r="U31" s="13"/>
      <c r="V31" s="2"/>
      <c r="W31" s="2"/>
    </row>
    <row r="32" spans="2:23" x14ac:dyDescent="0.15">
      <c r="D32" s="531"/>
      <c r="E32" s="34" t="s">
        <v>40</v>
      </c>
      <c r="F32" s="35" t="s">
        <v>41</v>
      </c>
      <c r="G32" s="36" t="s">
        <v>41</v>
      </c>
      <c r="H32" s="36" t="s">
        <v>41</v>
      </c>
      <c r="I32" s="37" t="s">
        <v>41</v>
      </c>
      <c r="J32" s="38" t="s">
        <v>41</v>
      </c>
      <c r="K32" s="39" t="s">
        <v>42</v>
      </c>
      <c r="L32" s="39" t="s">
        <v>42</v>
      </c>
      <c r="M32" s="39" t="s">
        <v>42</v>
      </c>
      <c r="N32" s="36" t="s">
        <v>42</v>
      </c>
      <c r="O32" s="36" t="s">
        <v>42</v>
      </c>
      <c r="P32" s="36" t="s">
        <v>42</v>
      </c>
      <c r="Q32" s="36" t="s">
        <v>42</v>
      </c>
      <c r="R32" s="6"/>
      <c r="S32" s="6"/>
      <c r="T32" s="2"/>
      <c r="U32" s="13"/>
      <c r="V32" s="2"/>
      <c r="W32" s="2"/>
    </row>
    <row r="33" spans="1:23" ht="14.25" thickBot="1" x14ac:dyDescent="0.2">
      <c r="D33" s="509" t="s">
        <v>43</v>
      </c>
      <c r="E33" s="528"/>
      <c r="F33" s="40">
        <f t="shared" ref="F33:Q33" si="0">ROUND(F26/F25,3)</f>
        <v>0.33</v>
      </c>
      <c r="G33" s="41">
        <f t="shared" si="0"/>
        <v>0.47499999999999998</v>
      </c>
      <c r="H33" s="41">
        <f t="shared" si="0"/>
        <v>0.22700000000000001</v>
      </c>
      <c r="I33" s="42">
        <f t="shared" si="0"/>
        <v>0.36199999999999999</v>
      </c>
      <c r="J33" s="43">
        <f t="shared" si="0"/>
        <v>0.38200000000000001</v>
      </c>
      <c r="K33" s="44">
        <f t="shared" si="0"/>
        <v>0.439</v>
      </c>
      <c r="L33" s="44">
        <f t="shared" si="0"/>
        <v>0.3</v>
      </c>
      <c r="M33" s="44">
        <f t="shared" si="0"/>
        <v>0.42399999999999999</v>
      </c>
      <c r="N33" s="43">
        <f t="shared" si="0"/>
        <v>0.4</v>
      </c>
      <c r="O33" s="44">
        <f t="shared" si="0"/>
        <v>0.60299999999999998</v>
      </c>
      <c r="P33" s="44">
        <f t="shared" si="0"/>
        <v>0.35599999999999998</v>
      </c>
      <c r="Q33" s="44">
        <f t="shared" si="0"/>
        <v>0.40100000000000002</v>
      </c>
      <c r="R33" s="45"/>
      <c r="S33" s="45"/>
      <c r="T33" s="46"/>
      <c r="U33" s="47"/>
      <c r="V33" s="46"/>
      <c r="W33" s="2"/>
    </row>
    <row r="34" spans="1:23" x14ac:dyDescent="0.15">
      <c r="D34" s="48" t="s">
        <v>44</v>
      </c>
      <c r="E34" s="49"/>
      <c r="F34" s="50"/>
      <c r="G34" s="50"/>
      <c r="H34" s="50"/>
      <c r="I34" s="50"/>
      <c r="J34" s="50"/>
      <c r="K34" s="50"/>
      <c r="L34" s="50"/>
      <c r="M34" s="50"/>
      <c r="N34" s="50"/>
      <c r="O34" s="50"/>
      <c r="P34" s="50"/>
      <c r="Q34" s="50"/>
      <c r="R34" s="45"/>
      <c r="S34" s="45"/>
      <c r="T34" s="46"/>
      <c r="U34" s="47"/>
      <c r="V34" s="46"/>
      <c r="W34" s="2"/>
    </row>
    <row r="35" spans="1:23" x14ac:dyDescent="0.15">
      <c r="D35" s="12"/>
      <c r="E35" s="12"/>
      <c r="F35" s="45"/>
      <c r="G35" s="45"/>
      <c r="H35" s="45"/>
      <c r="I35" s="45"/>
      <c r="J35" s="45"/>
      <c r="K35" s="50"/>
      <c r="L35" s="45"/>
      <c r="N35" s="45"/>
      <c r="O35" s="50"/>
      <c r="P35" s="45"/>
    </row>
    <row r="36" spans="1:23" x14ac:dyDescent="0.15">
      <c r="B36" s="10" t="s">
        <v>45</v>
      </c>
      <c r="D36" s="12"/>
      <c r="E36" s="12"/>
      <c r="F36" s="45"/>
      <c r="G36" s="45"/>
      <c r="H36" s="45"/>
      <c r="I36" s="45"/>
      <c r="J36" s="45"/>
      <c r="K36" s="50"/>
      <c r="L36" s="45"/>
      <c r="N36" s="45"/>
      <c r="O36" s="50"/>
      <c r="P36" s="45"/>
    </row>
    <row r="37" spans="1:23" x14ac:dyDescent="0.15">
      <c r="D37" s="12"/>
      <c r="E37" s="12"/>
      <c r="F37" s="45"/>
      <c r="G37" s="45"/>
      <c r="H37" s="45"/>
      <c r="I37" s="45"/>
      <c r="J37" s="45"/>
      <c r="K37" s="50"/>
      <c r="L37" s="45"/>
      <c r="N37" s="45"/>
      <c r="O37" s="50"/>
      <c r="P37" s="45"/>
    </row>
    <row r="38" spans="1:23" x14ac:dyDescent="0.15">
      <c r="A38" s="532" t="s">
        <v>46</v>
      </c>
      <c r="B38" s="532"/>
      <c r="C38" s="532"/>
      <c r="D38" s="532"/>
      <c r="E38" s="532"/>
      <c r="F38" s="532"/>
      <c r="G38" s="532"/>
      <c r="H38" s="532"/>
      <c r="I38" s="532"/>
      <c r="J38" s="45"/>
      <c r="K38" s="50"/>
      <c r="L38" s="45"/>
      <c r="N38" s="45"/>
      <c r="O38" s="50"/>
      <c r="P38" s="45"/>
    </row>
    <row r="39" spans="1:23" x14ac:dyDescent="0.15">
      <c r="D39" s="12"/>
      <c r="E39" s="12"/>
      <c r="F39" s="45"/>
      <c r="G39" s="45"/>
      <c r="H39" s="45"/>
      <c r="I39" s="45"/>
      <c r="J39" s="45"/>
      <c r="K39" s="50"/>
      <c r="L39" s="45"/>
      <c r="N39" s="45"/>
      <c r="O39" s="50"/>
      <c r="P39" s="45"/>
    </row>
    <row r="40" spans="1:23" ht="14.25" thickBot="1" x14ac:dyDescent="0.2">
      <c r="B40" s="10" t="s">
        <v>47</v>
      </c>
      <c r="C40" s="10"/>
      <c r="F40" s="11"/>
      <c r="G40" s="51"/>
      <c r="H40" s="51"/>
      <c r="I40" s="51"/>
      <c r="J40" s="51"/>
      <c r="K40" s="52"/>
      <c r="N40" s="51"/>
      <c r="O40" s="52"/>
    </row>
    <row r="41" spans="1:23" x14ac:dyDescent="0.15">
      <c r="D41" s="399"/>
      <c r="E41" s="386"/>
      <c r="F41" s="444" t="s">
        <v>26</v>
      </c>
      <c r="G41" s="455"/>
      <c r="H41" s="455"/>
      <c r="I41" s="456"/>
      <c r="J41" s="503" t="s">
        <v>27</v>
      </c>
      <c r="K41" s="449"/>
      <c r="L41" s="449"/>
      <c r="M41" s="449"/>
      <c r="N41" s="399" t="s">
        <v>28</v>
      </c>
      <c r="O41" s="386"/>
      <c r="P41" s="386"/>
      <c r="Q41" s="387"/>
      <c r="R41" s="12"/>
      <c r="S41" s="12"/>
      <c r="T41" s="2"/>
      <c r="U41" s="13"/>
      <c r="V41" s="2"/>
      <c r="W41" s="2"/>
    </row>
    <row r="42" spans="1:23" x14ac:dyDescent="0.15">
      <c r="D42" s="400"/>
      <c r="E42" s="443"/>
      <c r="F42" s="371"/>
      <c r="G42" s="364" t="s">
        <v>29</v>
      </c>
      <c r="H42" s="364" t="s">
        <v>30</v>
      </c>
      <c r="I42" s="374" t="s">
        <v>31</v>
      </c>
      <c r="J42" s="14"/>
      <c r="K42" s="15" t="s">
        <v>29</v>
      </c>
      <c r="L42" s="15" t="s">
        <v>30</v>
      </c>
      <c r="M42" s="375" t="s">
        <v>31</v>
      </c>
      <c r="N42" s="372"/>
      <c r="O42" s="364" t="s">
        <v>29</v>
      </c>
      <c r="P42" s="364" t="s">
        <v>30</v>
      </c>
      <c r="Q42" s="375" t="s">
        <v>31</v>
      </c>
      <c r="R42" s="20"/>
      <c r="S42" s="20"/>
      <c r="T42" s="2"/>
      <c r="U42" s="13"/>
      <c r="V42" s="2"/>
      <c r="W42" s="2"/>
    </row>
    <row r="43" spans="1:23" x14ac:dyDescent="0.15">
      <c r="D43" s="399" t="s">
        <v>48</v>
      </c>
      <c r="E43" s="386"/>
      <c r="F43" s="54">
        <f>G43+H43+I43</f>
        <v>72</v>
      </c>
      <c r="G43" s="55">
        <v>0</v>
      </c>
      <c r="H43" s="55">
        <v>9</v>
      </c>
      <c r="I43" s="56">
        <v>63</v>
      </c>
      <c r="J43" s="54">
        <f>K43+L43+M43</f>
        <v>76</v>
      </c>
      <c r="K43" s="55">
        <v>2</v>
      </c>
      <c r="L43" s="55">
        <v>10</v>
      </c>
      <c r="M43" s="55">
        <v>64</v>
      </c>
      <c r="N43" s="55">
        <f>O43+P43+Q43</f>
        <v>56</v>
      </c>
      <c r="O43" s="55">
        <v>0</v>
      </c>
      <c r="P43" s="55">
        <v>7</v>
      </c>
      <c r="Q43" s="55">
        <v>49</v>
      </c>
      <c r="T43" s="2"/>
      <c r="U43" s="13"/>
      <c r="V43" s="2"/>
      <c r="W43" s="2"/>
    </row>
    <row r="44" spans="1:23" x14ac:dyDescent="0.15">
      <c r="D44" s="400"/>
      <c r="E44" s="443"/>
      <c r="F44" s="58">
        <f t="shared" ref="F44:Q44" si="1">ROUND(F43/(F$43+F$45+F$47+F$49+F$51),3)</f>
        <v>0.11600000000000001</v>
      </c>
      <c r="G44" s="59">
        <f t="shared" si="1"/>
        <v>0</v>
      </c>
      <c r="H44" s="59">
        <f t="shared" si="1"/>
        <v>7.1999999999999995E-2</v>
      </c>
      <c r="I44" s="60">
        <f t="shared" si="1"/>
        <v>0.14699999999999999</v>
      </c>
      <c r="J44" s="58">
        <f t="shared" si="1"/>
        <v>0.115</v>
      </c>
      <c r="K44" s="59">
        <f t="shared" si="1"/>
        <v>3.3000000000000002E-2</v>
      </c>
      <c r="L44" s="59">
        <f t="shared" si="1"/>
        <v>5.5E-2</v>
      </c>
      <c r="M44" s="59">
        <f t="shared" si="1"/>
        <v>0.152</v>
      </c>
      <c r="N44" s="59">
        <f t="shared" si="1"/>
        <v>0.08</v>
      </c>
      <c r="O44" s="59">
        <f t="shared" si="1"/>
        <v>0</v>
      </c>
      <c r="P44" s="59">
        <f t="shared" si="1"/>
        <v>3.3000000000000002E-2</v>
      </c>
      <c r="Q44" s="59">
        <f t="shared" si="1"/>
        <v>0.11899999999999999</v>
      </c>
      <c r="R44" s="51"/>
      <c r="S44" s="51"/>
      <c r="T44" s="2"/>
      <c r="U44" s="13"/>
      <c r="V44" s="2"/>
      <c r="W44" s="2"/>
    </row>
    <row r="45" spans="1:23" x14ac:dyDescent="0.15">
      <c r="D45" s="399" t="s">
        <v>49</v>
      </c>
      <c r="E45" s="386"/>
      <c r="F45" s="54">
        <f>G45+H45+I45</f>
        <v>176</v>
      </c>
      <c r="G45" s="55">
        <v>8</v>
      </c>
      <c r="H45" s="55">
        <v>33</v>
      </c>
      <c r="I45" s="56">
        <v>135</v>
      </c>
      <c r="J45" s="54">
        <f>K45+L45+M45</f>
        <v>177</v>
      </c>
      <c r="K45" s="55">
        <v>5</v>
      </c>
      <c r="L45" s="55">
        <v>46</v>
      </c>
      <c r="M45" s="55">
        <v>126</v>
      </c>
      <c r="N45" s="55">
        <f>O45+P45+Q45</f>
        <v>204</v>
      </c>
      <c r="O45" s="55">
        <v>7</v>
      </c>
      <c r="P45" s="55">
        <v>59</v>
      </c>
      <c r="Q45" s="55">
        <v>138</v>
      </c>
      <c r="T45" s="2"/>
      <c r="U45" s="13"/>
      <c r="V45" s="2"/>
      <c r="W45" s="2"/>
    </row>
    <row r="46" spans="1:23" x14ac:dyDescent="0.15">
      <c r="D46" s="400"/>
      <c r="E46" s="443"/>
      <c r="F46" s="58">
        <f t="shared" ref="F46:Q46" si="2">ROUND(F45/(F$43+F$45+F$47+F$49+F$51),3)</f>
        <v>0.28299999999999997</v>
      </c>
      <c r="G46" s="59">
        <f t="shared" si="2"/>
        <v>0.121</v>
      </c>
      <c r="H46" s="59">
        <f t="shared" si="2"/>
        <v>0.26400000000000001</v>
      </c>
      <c r="I46" s="60">
        <f t="shared" si="2"/>
        <v>0.314</v>
      </c>
      <c r="J46" s="58">
        <f t="shared" si="2"/>
        <v>0.26700000000000002</v>
      </c>
      <c r="K46" s="59">
        <f t="shared" si="2"/>
        <v>8.2000000000000003E-2</v>
      </c>
      <c r="L46" s="59">
        <f t="shared" si="2"/>
        <v>0.254</v>
      </c>
      <c r="M46" s="59">
        <f t="shared" si="2"/>
        <v>0.29899999999999999</v>
      </c>
      <c r="N46" s="59">
        <f t="shared" si="2"/>
        <v>0.28999999999999998</v>
      </c>
      <c r="O46" s="59">
        <f t="shared" si="2"/>
        <v>9.1999999999999998E-2</v>
      </c>
      <c r="P46" s="59">
        <f t="shared" si="2"/>
        <v>0.27600000000000002</v>
      </c>
      <c r="Q46" s="59">
        <f t="shared" si="2"/>
        <v>0.33400000000000002</v>
      </c>
      <c r="R46" s="51"/>
      <c r="S46" s="51"/>
      <c r="T46" s="2"/>
      <c r="U46" s="13"/>
      <c r="V46" s="2"/>
      <c r="W46" s="2"/>
    </row>
    <row r="47" spans="1:23" x14ac:dyDescent="0.15">
      <c r="D47" s="399" t="s">
        <v>50</v>
      </c>
      <c r="E47" s="386"/>
      <c r="F47" s="54">
        <f>G47+H47+I47</f>
        <v>132</v>
      </c>
      <c r="G47" s="55">
        <v>13</v>
      </c>
      <c r="H47" s="55">
        <v>30</v>
      </c>
      <c r="I47" s="56">
        <v>89</v>
      </c>
      <c r="J47" s="54">
        <f>K47+L47+M47</f>
        <v>164</v>
      </c>
      <c r="K47" s="55">
        <v>15</v>
      </c>
      <c r="L47" s="55">
        <v>49</v>
      </c>
      <c r="M47" s="55">
        <v>100</v>
      </c>
      <c r="N47" s="55">
        <f>O47+P47+Q47</f>
        <v>177</v>
      </c>
      <c r="O47" s="55">
        <v>16</v>
      </c>
      <c r="P47" s="55">
        <v>63</v>
      </c>
      <c r="Q47" s="55">
        <v>98</v>
      </c>
      <c r="T47" s="2"/>
      <c r="U47" s="13"/>
      <c r="V47" s="2"/>
      <c r="W47" s="2"/>
    </row>
    <row r="48" spans="1:23" x14ac:dyDescent="0.15">
      <c r="D48" s="400"/>
      <c r="E48" s="443"/>
      <c r="F48" s="58">
        <f t="shared" ref="F48:Q48" si="3">ROUND(F47/(F$43+F$45+F$47+F$49+F$51),3)</f>
        <v>0.21299999999999999</v>
      </c>
      <c r="G48" s="59">
        <f t="shared" si="3"/>
        <v>0.19700000000000001</v>
      </c>
      <c r="H48" s="59">
        <f t="shared" si="3"/>
        <v>0.24</v>
      </c>
      <c r="I48" s="60">
        <f t="shared" si="3"/>
        <v>0.20699999999999999</v>
      </c>
      <c r="J48" s="58">
        <f t="shared" si="3"/>
        <v>0.247</v>
      </c>
      <c r="K48" s="59">
        <f t="shared" si="3"/>
        <v>0.246</v>
      </c>
      <c r="L48" s="59">
        <f t="shared" si="3"/>
        <v>0.27100000000000002</v>
      </c>
      <c r="M48" s="59">
        <f t="shared" si="3"/>
        <v>0.23799999999999999</v>
      </c>
      <c r="N48" s="59">
        <f t="shared" si="3"/>
        <v>0.252</v>
      </c>
      <c r="O48" s="59">
        <f t="shared" si="3"/>
        <v>0.21099999999999999</v>
      </c>
      <c r="P48" s="59">
        <f t="shared" si="3"/>
        <v>0.29399999999999998</v>
      </c>
      <c r="Q48" s="59">
        <f t="shared" si="3"/>
        <v>0.23699999999999999</v>
      </c>
      <c r="R48" s="51"/>
      <c r="S48" s="51"/>
      <c r="T48" s="2"/>
      <c r="U48" s="13"/>
      <c r="V48" s="2"/>
      <c r="W48" s="2"/>
    </row>
    <row r="49" spans="2:23" x14ac:dyDescent="0.15">
      <c r="D49" s="399" t="s">
        <v>51</v>
      </c>
      <c r="E49" s="386"/>
      <c r="F49" s="54">
        <f>G49+H49+I49</f>
        <v>154</v>
      </c>
      <c r="G49" s="62">
        <v>22</v>
      </c>
      <c r="H49" s="62">
        <v>34</v>
      </c>
      <c r="I49" s="56">
        <v>98</v>
      </c>
      <c r="J49" s="54">
        <f>K49+L49+M49</f>
        <v>162</v>
      </c>
      <c r="K49" s="62">
        <v>18</v>
      </c>
      <c r="L49" s="62">
        <v>55</v>
      </c>
      <c r="M49" s="55">
        <v>89</v>
      </c>
      <c r="N49" s="55">
        <f>O49+P49+Q49</f>
        <v>173</v>
      </c>
      <c r="O49" s="62">
        <v>28</v>
      </c>
      <c r="P49" s="62">
        <v>58</v>
      </c>
      <c r="Q49" s="55">
        <v>87</v>
      </c>
      <c r="T49" s="2"/>
      <c r="U49" s="13"/>
      <c r="V49" s="2"/>
      <c r="W49" s="2"/>
    </row>
    <row r="50" spans="2:23" x14ac:dyDescent="0.15">
      <c r="D50" s="400"/>
      <c r="E50" s="443"/>
      <c r="F50" s="58">
        <f t="shared" ref="F50:Q50" si="4">ROUND(F49/(F$43+F$45+F$47+F$49+F$51),3)</f>
        <v>0.248</v>
      </c>
      <c r="G50" s="59">
        <f t="shared" si="4"/>
        <v>0.33300000000000002</v>
      </c>
      <c r="H50" s="59">
        <f t="shared" si="4"/>
        <v>0.27200000000000002</v>
      </c>
      <c r="I50" s="60">
        <f t="shared" si="4"/>
        <v>0.22800000000000001</v>
      </c>
      <c r="J50" s="58">
        <f t="shared" si="4"/>
        <v>0.24399999999999999</v>
      </c>
      <c r="K50" s="59">
        <f t="shared" si="4"/>
        <v>0.29499999999999998</v>
      </c>
      <c r="L50" s="59">
        <f t="shared" si="4"/>
        <v>0.30399999999999999</v>
      </c>
      <c r="M50" s="59">
        <f t="shared" si="4"/>
        <v>0.21099999999999999</v>
      </c>
      <c r="N50" s="59">
        <f t="shared" si="4"/>
        <v>0.246</v>
      </c>
      <c r="O50" s="59">
        <f t="shared" si="4"/>
        <v>0.36799999999999999</v>
      </c>
      <c r="P50" s="59">
        <f t="shared" si="4"/>
        <v>0.27100000000000002</v>
      </c>
      <c r="Q50" s="59">
        <f t="shared" si="4"/>
        <v>0.21099999999999999</v>
      </c>
      <c r="R50" s="51"/>
      <c r="S50" s="51"/>
      <c r="T50" s="2"/>
      <c r="U50" s="13"/>
      <c r="V50" s="2"/>
      <c r="W50" s="2"/>
    </row>
    <row r="51" spans="2:23" x14ac:dyDescent="0.15">
      <c r="D51" s="399" t="s">
        <v>52</v>
      </c>
      <c r="E51" s="386"/>
      <c r="F51" s="54">
        <f>G51+H51+I51</f>
        <v>87</v>
      </c>
      <c r="G51" s="62">
        <v>23</v>
      </c>
      <c r="H51" s="62">
        <v>19</v>
      </c>
      <c r="I51" s="56">
        <v>45</v>
      </c>
      <c r="J51" s="54">
        <f>K51+L51+M51</f>
        <v>84</v>
      </c>
      <c r="K51" s="62">
        <v>21</v>
      </c>
      <c r="L51" s="62">
        <v>21</v>
      </c>
      <c r="M51" s="55">
        <v>42</v>
      </c>
      <c r="N51" s="55">
        <f>O51+P51+Q51</f>
        <v>93</v>
      </c>
      <c r="O51" s="62">
        <v>25</v>
      </c>
      <c r="P51" s="62">
        <v>27</v>
      </c>
      <c r="Q51" s="55">
        <v>41</v>
      </c>
      <c r="T51" s="2"/>
      <c r="U51" s="13"/>
      <c r="V51" s="2"/>
      <c r="W51" s="2"/>
    </row>
    <row r="52" spans="2:23" x14ac:dyDescent="0.15">
      <c r="D52" s="400"/>
      <c r="E52" s="443"/>
      <c r="F52" s="58">
        <f t="shared" ref="F52:Q52" si="5">ROUND(F51/(F$43+F$45+F$47+F$49+F$51),3)</f>
        <v>0.14000000000000001</v>
      </c>
      <c r="G52" s="59">
        <f t="shared" si="5"/>
        <v>0.34799999999999998</v>
      </c>
      <c r="H52" s="59">
        <f t="shared" si="5"/>
        <v>0.152</v>
      </c>
      <c r="I52" s="60">
        <f t="shared" si="5"/>
        <v>0.105</v>
      </c>
      <c r="J52" s="58">
        <f t="shared" si="5"/>
        <v>0.127</v>
      </c>
      <c r="K52" s="59">
        <f t="shared" si="5"/>
        <v>0.34399999999999997</v>
      </c>
      <c r="L52" s="59">
        <f t="shared" si="5"/>
        <v>0.11600000000000001</v>
      </c>
      <c r="M52" s="59">
        <f t="shared" si="5"/>
        <v>0.1</v>
      </c>
      <c r="N52" s="59">
        <f t="shared" si="5"/>
        <v>0.13200000000000001</v>
      </c>
      <c r="O52" s="59">
        <f t="shared" si="5"/>
        <v>0.32900000000000001</v>
      </c>
      <c r="P52" s="59">
        <f t="shared" si="5"/>
        <v>0.126</v>
      </c>
      <c r="Q52" s="59">
        <f t="shared" si="5"/>
        <v>9.9000000000000005E-2</v>
      </c>
      <c r="R52" s="51"/>
      <c r="S52" s="51"/>
      <c r="T52" s="2"/>
      <c r="U52" s="13"/>
      <c r="V52" s="2"/>
      <c r="W52" s="2"/>
    </row>
    <row r="53" spans="2:23" x14ac:dyDescent="0.15">
      <c r="D53" s="449" t="s">
        <v>53</v>
      </c>
      <c r="E53" s="426"/>
      <c r="F53" s="54">
        <f t="shared" ref="F53:Q53" si="6">F43+F45+F47+F49+F51</f>
        <v>621</v>
      </c>
      <c r="G53" s="55">
        <f t="shared" si="6"/>
        <v>66</v>
      </c>
      <c r="H53" s="55">
        <f t="shared" si="6"/>
        <v>125</v>
      </c>
      <c r="I53" s="56">
        <f t="shared" si="6"/>
        <v>430</v>
      </c>
      <c r="J53" s="54">
        <f t="shared" si="6"/>
        <v>663</v>
      </c>
      <c r="K53" s="55">
        <f t="shared" si="6"/>
        <v>61</v>
      </c>
      <c r="L53" s="55">
        <f t="shared" si="6"/>
        <v>181</v>
      </c>
      <c r="M53" s="55">
        <f t="shared" si="6"/>
        <v>421</v>
      </c>
      <c r="N53" s="55">
        <f t="shared" si="6"/>
        <v>703</v>
      </c>
      <c r="O53" s="63">
        <f t="shared" si="6"/>
        <v>76</v>
      </c>
      <c r="P53" s="55">
        <f t="shared" si="6"/>
        <v>214</v>
      </c>
      <c r="Q53" s="55">
        <f t="shared" si="6"/>
        <v>413</v>
      </c>
      <c r="R53" s="64"/>
      <c r="S53" s="64"/>
      <c r="T53" s="2"/>
      <c r="U53" s="13"/>
      <c r="V53" s="2"/>
      <c r="W53" s="2"/>
    </row>
    <row r="54" spans="2:23" ht="14.25" thickBot="1" x14ac:dyDescent="0.2">
      <c r="D54" s="449"/>
      <c r="E54" s="426"/>
      <c r="F54" s="65">
        <f t="shared" ref="F54:Q54" si="7">F44+F46+F48+F50+F52</f>
        <v>1</v>
      </c>
      <c r="G54" s="66">
        <f t="shared" si="7"/>
        <v>0.999</v>
      </c>
      <c r="H54" s="66">
        <f t="shared" si="7"/>
        <v>1</v>
      </c>
      <c r="I54" s="67">
        <f t="shared" si="7"/>
        <v>1.0009999999999999</v>
      </c>
      <c r="J54" s="68">
        <f t="shared" si="7"/>
        <v>1</v>
      </c>
      <c r="K54" s="69">
        <f t="shared" si="7"/>
        <v>0.99999999999999989</v>
      </c>
      <c r="L54" s="69">
        <f t="shared" si="7"/>
        <v>1.0000000000000002</v>
      </c>
      <c r="M54" s="69">
        <f t="shared" si="7"/>
        <v>0.99999999999999989</v>
      </c>
      <c r="N54" s="69">
        <f t="shared" si="7"/>
        <v>1</v>
      </c>
      <c r="O54" s="71">
        <f t="shared" si="7"/>
        <v>1</v>
      </c>
      <c r="P54" s="69">
        <f t="shared" si="7"/>
        <v>1</v>
      </c>
      <c r="Q54" s="69">
        <f t="shared" si="7"/>
        <v>0.99999999999999989</v>
      </c>
      <c r="R54" s="72"/>
      <c r="S54" s="72"/>
      <c r="T54" s="46"/>
      <c r="U54" s="47"/>
      <c r="V54" s="46"/>
      <c r="W54" s="2"/>
    </row>
    <row r="55" spans="2:23" x14ac:dyDescent="0.15">
      <c r="D55" s="12"/>
      <c r="E55" s="12"/>
      <c r="F55" s="72"/>
      <c r="G55" s="72"/>
      <c r="H55" s="72"/>
      <c r="I55" s="72"/>
      <c r="J55" s="72"/>
      <c r="K55" s="72"/>
      <c r="L55" s="72"/>
      <c r="N55" s="72"/>
      <c r="O55" s="72"/>
      <c r="P55" s="72"/>
    </row>
    <row r="56" spans="2:23" x14ac:dyDescent="0.15">
      <c r="D56" s="12"/>
      <c r="E56" s="12"/>
      <c r="F56" s="72"/>
      <c r="G56" s="72"/>
      <c r="H56" s="72"/>
      <c r="I56" s="72"/>
      <c r="J56" s="72"/>
      <c r="K56" s="72"/>
      <c r="L56" s="72"/>
      <c r="N56" s="72"/>
      <c r="O56" s="72"/>
      <c r="P56" s="72"/>
    </row>
    <row r="57" spans="2:23" ht="14.25" thickBot="1" x14ac:dyDescent="0.2">
      <c r="B57" s="10" t="s">
        <v>54</v>
      </c>
      <c r="C57" s="10"/>
      <c r="F57" s="11"/>
      <c r="G57" s="45"/>
      <c r="H57" s="45"/>
      <c r="I57" s="45"/>
      <c r="J57" s="45"/>
      <c r="K57" s="52"/>
      <c r="N57" s="45"/>
      <c r="O57" s="52"/>
    </row>
    <row r="58" spans="2:23" x14ac:dyDescent="0.15">
      <c r="D58" s="399"/>
      <c r="E58" s="386"/>
      <c r="F58" s="444" t="s">
        <v>26</v>
      </c>
      <c r="G58" s="455"/>
      <c r="H58" s="455"/>
      <c r="I58" s="456"/>
      <c r="J58" s="503" t="s">
        <v>27</v>
      </c>
      <c r="K58" s="449"/>
      <c r="L58" s="449"/>
      <c r="M58" s="449"/>
      <c r="N58" s="399" t="s">
        <v>28</v>
      </c>
      <c r="O58" s="386"/>
      <c r="P58" s="386"/>
      <c r="Q58" s="387"/>
      <c r="R58" s="12"/>
      <c r="S58" s="12"/>
      <c r="T58" s="2"/>
      <c r="U58" s="13"/>
      <c r="V58" s="2"/>
      <c r="W58" s="2"/>
    </row>
    <row r="59" spans="2:23" x14ac:dyDescent="0.15">
      <c r="D59" s="400"/>
      <c r="E59" s="443"/>
      <c r="F59" s="371"/>
      <c r="G59" s="364" t="s">
        <v>29</v>
      </c>
      <c r="H59" s="364" t="s">
        <v>30</v>
      </c>
      <c r="I59" s="374" t="s">
        <v>31</v>
      </c>
      <c r="J59" s="14"/>
      <c r="K59" s="15" t="s">
        <v>29</v>
      </c>
      <c r="L59" s="15" t="s">
        <v>30</v>
      </c>
      <c r="M59" s="375" t="s">
        <v>31</v>
      </c>
      <c r="N59" s="372"/>
      <c r="O59" s="364" t="s">
        <v>29</v>
      </c>
      <c r="P59" s="364" t="s">
        <v>30</v>
      </c>
      <c r="Q59" s="375" t="s">
        <v>31</v>
      </c>
      <c r="R59" s="20"/>
      <c r="S59" s="20"/>
      <c r="T59" s="2"/>
      <c r="U59" s="13"/>
      <c r="V59" s="2"/>
      <c r="W59" s="2"/>
    </row>
    <row r="60" spans="2:23" x14ac:dyDescent="0.15">
      <c r="D60" s="439" t="s">
        <v>55</v>
      </c>
      <c r="E60" s="440"/>
      <c r="F60" s="73">
        <f>G60+H60+I60</f>
        <v>516</v>
      </c>
      <c r="G60" s="62">
        <v>61</v>
      </c>
      <c r="H60" s="62">
        <v>94</v>
      </c>
      <c r="I60" s="56">
        <v>361</v>
      </c>
      <c r="J60" s="73">
        <f>K60+L60+M60</f>
        <v>555</v>
      </c>
      <c r="K60" s="62">
        <v>61</v>
      </c>
      <c r="L60" s="62">
        <v>143</v>
      </c>
      <c r="M60" s="55">
        <v>351</v>
      </c>
      <c r="N60" s="373">
        <f>O60+P60+Q60</f>
        <v>611</v>
      </c>
      <c r="O60" s="74">
        <v>76</v>
      </c>
      <c r="P60" s="62">
        <v>175</v>
      </c>
      <c r="Q60" s="55">
        <v>360</v>
      </c>
      <c r="T60" s="2"/>
      <c r="U60" s="13"/>
      <c r="V60" s="2"/>
      <c r="W60" s="2"/>
    </row>
    <row r="61" spans="2:23" x14ac:dyDescent="0.15">
      <c r="D61" s="441"/>
      <c r="E61" s="442"/>
      <c r="F61" s="75">
        <f t="shared" ref="F61:Q61" si="8">ROUND(F60/(F60+F62),3)</f>
        <v>0.83</v>
      </c>
      <c r="G61" s="76">
        <f t="shared" si="8"/>
        <v>0.92400000000000004</v>
      </c>
      <c r="H61" s="76">
        <f t="shared" si="8"/>
        <v>0.746</v>
      </c>
      <c r="I61" s="77">
        <f t="shared" si="8"/>
        <v>0.84</v>
      </c>
      <c r="J61" s="75">
        <f t="shared" si="8"/>
        <v>0.83299999999999996</v>
      </c>
      <c r="K61" s="76">
        <f t="shared" si="8"/>
        <v>1</v>
      </c>
      <c r="L61" s="76">
        <f t="shared" si="8"/>
        <v>0.78100000000000003</v>
      </c>
      <c r="M61" s="76">
        <f t="shared" si="8"/>
        <v>0.83199999999999996</v>
      </c>
      <c r="N61" s="59">
        <f t="shared" si="8"/>
        <v>0.86399999999999999</v>
      </c>
      <c r="O61" s="76">
        <f t="shared" si="8"/>
        <v>1</v>
      </c>
      <c r="P61" s="76">
        <f t="shared" si="8"/>
        <v>0.81</v>
      </c>
      <c r="Q61" s="76">
        <f t="shared" si="8"/>
        <v>0.86699999999999999</v>
      </c>
      <c r="R61" s="51"/>
      <c r="S61" s="51"/>
      <c r="T61" s="2"/>
      <c r="U61" s="13"/>
      <c r="V61" s="2"/>
      <c r="W61" s="2"/>
    </row>
    <row r="62" spans="2:23" x14ac:dyDescent="0.15">
      <c r="D62" s="439" t="s">
        <v>56</v>
      </c>
      <c r="E62" s="440"/>
      <c r="F62" s="73">
        <f>G62+H62+I62</f>
        <v>106</v>
      </c>
      <c r="G62" s="62">
        <v>5</v>
      </c>
      <c r="H62" s="62">
        <v>32</v>
      </c>
      <c r="I62" s="56">
        <v>69</v>
      </c>
      <c r="J62" s="73">
        <f>K62+L62+M62</f>
        <v>111</v>
      </c>
      <c r="K62" s="62">
        <v>0</v>
      </c>
      <c r="L62" s="62">
        <v>40</v>
      </c>
      <c r="M62" s="55">
        <v>71</v>
      </c>
      <c r="N62" s="373">
        <f>O62+P62+Q62</f>
        <v>96</v>
      </c>
      <c r="O62" s="74">
        <v>0</v>
      </c>
      <c r="P62" s="62">
        <v>41</v>
      </c>
      <c r="Q62" s="55">
        <v>55</v>
      </c>
      <c r="T62" s="2"/>
      <c r="U62" s="13"/>
      <c r="V62" s="2"/>
      <c r="W62" s="2"/>
    </row>
    <row r="63" spans="2:23" x14ac:dyDescent="0.15">
      <c r="D63" s="441"/>
      <c r="E63" s="442"/>
      <c r="F63" s="75">
        <f t="shared" ref="F63:Q63" si="9">ROUND(F62/(F60+F62),3)</f>
        <v>0.17</v>
      </c>
      <c r="G63" s="76">
        <f t="shared" si="9"/>
        <v>7.5999999999999998E-2</v>
      </c>
      <c r="H63" s="76">
        <f t="shared" si="9"/>
        <v>0.254</v>
      </c>
      <c r="I63" s="77">
        <f t="shared" si="9"/>
        <v>0.16</v>
      </c>
      <c r="J63" s="75">
        <f t="shared" si="9"/>
        <v>0.16700000000000001</v>
      </c>
      <c r="K63" s="76">
        <f t="shared" si="9"/>
        <v>0</v>
      </c>
      <c r="L63" s="76">
        <f t="shared" si="9"/>
        <v>0.219</v>
      </c>
      <c r="M63" s="76">
        <f t="shared" si="9"/>
        <v>0.16800000000000001</v>
      </c>
      <c r="N63" s="59">
        <f t="shared" si="9"/>
        <v>0.13600000000000001</v>
      </c>
      <c r="O63" s="76">
        <f t="shared" si="9"/>
        <v>0</v>
      </c>
      <c r="P63" s="76">
        <f t="shared" si="9"/>
        <v>0.19</v>
      </c>
      <c r="Q63" s="76">
        <f t="shared" si="9"/>
        <v>0.13300000000000001</v>
      </c>
      <c r="R63" s="51"/>
      <c r="S63" s="51"/>
      <c r="T63" s="2"/>
      <c r="U63" s="13"/>
      <c r="V63" s="2"/>
      <c r="W63" s="2"/>
    </row>
    <row r="64" spans="2:23" x14ac:dyDescent="0.15">
      <c r="D64" s="449" t="s">
        <v>53</v>
      </c>
      <c r="E64" s="426"/>
      <c r="F64" s="54">
        <f t="shared" ref="F64:Q64" si="10">F60+F62</f>
        <v>622</v>
      </c>
      <c r="G64" s="55">
        <f t="shared" si="10"/>
        <v>66</v>
      </c>
      <c r="H64" s="55">
        <f t="shared" si="10"/>
        <v>126</v>
      </c>
      <c r="I64" s="56">
        <f t="shared" si="10"/>
        <v>430</v>
      </c>
      <c r="J64" s="54">
        <f t="shared" si="10"/>
        <v>666</v>
      </c>
      <c r="K64" s="55">
        <f t="shared" si="10"/>
        <v>61</v>
      </c>
      <c r="L64" s="55">
        <f t="shared" si="10"/>
        <v>183</v>
      </c>
      <c r="M64" s="55">
        <f t="shared" si="10"/>
        <v>422</v>
      </c>
      <c r="N64" s="55">
        <f t="shared" si="10"/>
        <v>707</v>
      </c>
      <c r="O64" s="55">
        <f t="shared" si="10"/>
        <v>76</v>
      </c>
      <c r="P64" s="55">
        <f t="shared" si="10"/>
        <v>216</v>
      </c>
      <c r="Q64" s="55">
        <f t="shared" si="10"/>
        <v>415</v>
      </c>
      <c r="R64" s="64"/>
      <c r="S64" s="64"/>
      <c r="T64" s="2"/>
      <c r="U64" s="13"/>
      <c r="V64" s="2"/>
      <c r="W64" s="2"/>
    </row>
    <row r="65" spans="2:23" ht="14.25" thickBot="1" x14ac:dyDescent="0.2">
      <c r="D65" s="449"/>
      <c r="E65" s="426"/>
      <c r="F65" s="65">
        <f t="shared" ref="F65:Q65" si="11">F61+F63</f>
        <v>1</v>
      </c>
      <c r="G65" s="66">
        <f t="shared" si="11"/>
        <v>1</v>
      </c>
      <c r="H65" s="66">
        <f t="shared" si="11"/>
        <v>1</v>
      </c>
      <c r="I65" s="67">
        <f t="shared" si="11"/>
        <v>1</v>
      </c>
      <c r="J65" s="68">
        <f t="shared" si="11"/>
        <v>1</v>
      </c>
      <c r="K65" s="69">
        <f t="shared" si="11"/>
        <v>1</v>
      </c>
      <c r="L65" s="69">
        <f t="shared" si="11"/>
        <v>1</v>
      </c>
      <c r="M65" s="69">
        <f t="shared" si="11"/>
        <v>1</v>
      </c>
      <c r="N65" s="69">
        <f t="shared" si="11"/>
        <v>1</v>
      </c>
      <c r="O65" s="69">
        <f t="shared" si="11"/>
        <v>1</v>
      </c>
      <c r="P65" s="69">
        <f t="shared" si="11"/>
        <v>1</v>
      </c>
      <c r="Q65" s="69">
        <f t="shared" si="11"/>
        <v>1</v>
      </c>
      <c r="R65" s="51"/>
      <c r="S65" s="51"/>
      <c r="T65" s="46"/>
      <c r="U65" s="47"/>
      <c r="V65" s="46"/>
      <c r="W65" s="2"/>
    </row>
    <row r="66" spans="2:23" x14ac:dyDescent="0.15">
      <c r="D66" s="12"/>
      <c r="E66" s="12"/>
      <c r="F66" s="51"/>
      <c r="G66" s="51"/>
      <c r="H66" s="51"/>
      <c r="I66" s="51"/>
      <c r="J66" s="51"/>
      <c r="K66" s="78"/>
      <c r="L66" s="51"/>
      <c r="N66" s="51"/>
      <c r="O66" s="78"/>
      <c r="P66" s="51"/>
    </row>
    <row r="67" spans="2:23" x14ac:dyDescent="0.15">
      <c r="D67" s="12"/>
      <c r="E67" s="12"/>
      <c r="F67" s="51"/>
      <c r="G67" s="51"/>
      <c r="H67" s="51"/>
      <c r="I67" s="51"/>
      <c r="J67" s="51"/>
      <c r="K67" s="78"/>
      <c r="L67" s="51"/>
      <c r="N67" s="51"/>
      <c r="O67" s="78"/>
      <c r="P67" s="51"/>
    </row>
    <row r="68" spans="2:23" ht="14.25" thickBot="1" x14ac:dyDescent="0.2">
      <c r="B68" s="10" t="s">
        <v>58</v>
      </c>
      <c r="F68" s="11"/>
      <c r="G68" s="51"/>
      <c r="H68" s="51"/>
      <c r="I68" s="51"/>
      <c r="J68" s="51"/>
      <c r="N68" s="51"/>
    </row>
    <row r="69" spans="2:23" x14ac:dyDescent="0.15">
      <c r="D69" s="399"/>
      <c r="E69" s="386"/>
      <c r="F69" s="444" t="s">
        <v>26</v>
      </c>
      <c r="G69" s="455"/>
      <c r="H69" s="455"/>
      <c r="I69" s="456"/>
      <c r="J69" s="467" t="s">
        <v>27</v>
      </c>
      <c r="K69" s="386"/>
      <c r="L69" s="386"/>
      <c r="M69" s="387"/>
      <c r="N69" s="399" t="s">
        <v>28</v>
      </c>
      <c r="O69" s="386"/>
      <c r="P69" s="386"/>
      <c r="Q69" s="387"/>
      <c r="R69" s="12"/>
      <c r="S69" s="12"/>
      <c r="T69" s="2"/>
      <c r="U69" s="13"/>
      <c r="V69" s="2"/>
      <c r="W69" s="2"/>
    </row>
    <row r="70" spans="2:23" x14ac:dyDescent="0.15">
      <c r="D70" s="400"/>
      <c r="E70" s="443"/>
      <c r="F70" s="371"/>
      <c r="G70" s="364" t="s">
        <v>29</v>
      </c>
      <c r="H70" s="364" t="s">
        <v>30</v>
      </c>
      <c r="I70" s="374" t="s">
        <v>31</v>
      </c>
      <c r="J70" s="14"/>
      <c r="K70" s="15" t="s">
        <v>29</v>
      </c>
      <c r="L70" s="15" t="s">
        <v>30</v>
      </c>
      <c r="M70" s="375" t="s">
        <v>31</v>
      </c>
      <c r="N70" s="372"/>
      <c r="O70" s="364" t="s">
        <v>29</v>
      </c>
      <c r="P70" s="364" t="s">
        <v>30</v>
      </c>
      <c r="Q70" s="375" t="s">
        <v>31</v>
      </c>
      <c r="R70" s="20"/>
      <c r="S70" s="20"/>
      <c r="T70" s="2"/>
      <c r="U70" s="13"/>
      <c r="V70" s="2"/>
      <c r="W70" s="2"/>
    </row>
    <row r="71" spans="2:23" x14ac:dyDescent="0.15">
      <c r="D71" s="439" t="s">
        <v>59</v>
      </c>
      <c r="E71" s="440"/>
      <c r="F71" s="79">
        <f>F73+F75</f>
        <v>450</v>
      </c>
      <c r="G71" s="80">
        <f>G73+G75</f>
        <v>57</v>
      </c>
      <c r="H71" s="80">
        <f>H73+H75</f>
        <v>100</v>
      </c>
      <c r="I71" s="86">
        <f t="shared" ref="I71:Q71" si="12">I73+I75</f>
        <v>293</v>
      </c>
      <c r="J71" s="79">
        <f t="shared" si="12"/>
        <v>520</v>
      </c>
      <c r="K71" s="80">
        <f t="shared" si="12"/>
        <v>53</v>
      </c>
      <c r="L71" s="80">
        <f t="shared" si="12"/>
        <v>158</v>
      </c>
      <c r="M71" s="80">
        <f t="shared" si="12"/>
        <v>309</v>
      </c>
      <c r="N71" s="80">
        <f t="shared" si="12"/>
        <v>572</v>
      </c>
      <c r="O71" s="80">
        <f t="shared" si="12"/>
        <v>64</v>
      </c>
      <c r="P71" s="80">
        <f t="shared" si="12"/>
        <v>182</v>
      </c>
      <c r="Q71" s="80">
        <f t="shared" si="12"/>
        <v>326</v>
      </c>
      <c r="T71" s="2"/>
      <c r="U71" s="13"/>
      <c r="V71" s="2"/>
      <c r="W71" s="2"/>
    </row>
    <row r="72" spans="2:23" x14ac:dyDescent="0.15">
      <c r="D72" s="514"/>
      <c r="E72" s="442"/>
      <c r="F72" s="82">
        <f t="shared" ref="F72:Q72" si="13">ROUND(F71/(F71+F79),3)</f>
        <v>0.75600000000000001</v>
      </c>
      <c r="G72" s="83">
        <f t="shared" si="13"/>
        <v>0.877</v>
      </c>
      <c r="H72" s="83">
        <f t="shared" si="13"/>
        <v>0.8</v>
      </c>
      <c r="I72" s="84">
        <f t="shared" si="13"/>
        <v>0.72299999999999998</v>
      </c>
      <c r="J72" s="82">
        <f t="shared" si="13"/>
        <v>0.79</v>
      </c>
      <c r="K72" s="83">
        <f t="shared" si="13"/>
        <v>0.88300000000000001</v>
      </c>
      <c r="L72" s="83">
        <f t="shared" si="13"/>
        <v>0.873</v>
      </c>
      <c r="M72" s="83">
        <f t="shared" si="13"/>
        <v>0.74099999999999999</v>
      </c>
      <c r="N72" s="83">
        <f t="shared" si="13"/>
        <v>0.82199999999999995</v>
      </c>
      <c r="O72" s="83">
        <f t="shared" si="13"/>
        <v>0.877</v>
      </c>
      <c r="P72" s="83">
        <f t="shared" si="13"/>
        <v>0.84699999999999998</v>
      </c>
      <c r="Q72" s="83">
        <f t="shared" si="13"/>
        <v>0.79900000000000004</v>
      </c>
      <c r="R72" s="51"/>
      <c r="S72" s="51"/>
      <c r="T72" s="51"/>
      <c r="U72" s="13"/>
      <c r="V72" s="51"/>
      <c r="W72" s="2"/>
    </row>
    <row r="73" spans="2:23" x14ac:dyDescent="0.15">
      <c r="D73" s="85"/>
      <c r="E73" s="439" t="s">
        <v>60</v>
      </c>
      <c r="F73" s="79">
        <f>G73+H73+I73</f>
        <v>341</v>
      </c>
      <c r="G73" s="80">
        <v>30</v>
      </c>
      <c r="H73" s="80">
        <v>94</v>
      </c>
      <c r="I73" s="86">
        <v>217</v>
      </c>
      <c r="J73" s="79">
        <f>K73+L73+M73</f>
        <v>385</v>
      </c>
      <c r="K73" s="80">
        <v>26</v>
      </c>
      <c r="L73" s="80">
        <v>147</v>
      </c>
      <c r="M73" s="80">
        <v>212</v>
      </c>
      <c r="N73" s="80">
        <f>O73+P73+Q73</f>
        <v>449</v>
      </c>
      <c r="O73" s="80">
        <v>29</v>
      </c>
      <c r="P73" s="80">
        <v>171</v>
      </c>
      <c r="Q73" s="80">
        <v>249</v>
      </c>
      <c r="T73" s="51"/>
      <c r="U73" s="13"/>
      <c r="V73" s="51"/>
      <c r="W73" s="2"/>
    </row>
    <row r="74" spans="2:23" x14ac:dyDescent="0.15">
      <c r="D74" s="85"/>
      <c r="E74" s="514"/>
      <c r="F74" s="58">
        <f t="shared" ref="F74:Q74" si="14">ROUND(F73/(F$73+F$75),3)</f>
        <v>0.75800000000000001</v>
      </c>
      <c r="G74" s="59">
        <f t="shared" si="14"/>
        <v>0.52600000000000002</v>
      </c>
      <c r="H74" s="59">
        <f t="shared" si="14"/>
        <v>0.94</v>
      </c>
      <c r="I74" s="60">
        <f t="shared" si="14"/>
        <v>0.74099999999999999</v>
      </c>
      <c r="J74" s="58">
        <f t="shared" si="14"/>
        <v>0.74</v>
      </c>
      <c r="K74" s="59">
        <f t="shared" si="14"/>
        <v>0.49099999999999999</v>
      </c>
      <c r="L74" s="59">
        <f t="shared" si="14"/>
        <v>0.93</v>
      </c>
      <c r="M74" s="59">
        <f t="shared" si="14"/>
        <v>0.68600000000000005</v>
      </c>
      <c r="N74" s="59">
        <f t="shared" si="14"/>
        <v>0.78500000000000003</v>
      </c>
      <c r="O74" s="59">
        <f t="shared" si="14"/>
        <v>0.45300000000000001</v>
      </c>
      <c r="P74" s="59">
        <f t="shared" si="14"/>
        <v>0.94</v>
      </c>
      <c r="Q74" s="59">
        <f t="shared" si="14"/>
        <v>0.76400000000000001</v>
      </c>
      <c r="R74" s="51"/>
      <c r="S74" s="51"/>
      <c r="T74" s="51"/>
      <c r="U74" s="13"/>
      <c r="V74" s="51"/>
      <c r="W74" s="2"/>
    </row>
    <row r="75" spans="2:23" x14ac:dyDescent="0.15">
      <c r="D75" s="85"/>
      <c r="E75" s="439" t="s">
        <v>61</v>
      </c>
      <c r="F75" s="79">
        <f>G75+H75+I75</f>
        <v>109</v>
      </c>
      <c r="G75" s="80">
        <v>27</v>
      </c>
      <c r="H75" s="80">
        <v>6</v>
      </c>
      <c r="I75" s="86">
        <v>76</v>
      </c>
      <c r="J75" s="79">
        <f>K75+L75+M75</f>
        <v>135</v>
      </c>
      <c r="K75" s="80">
        <v>27</v>
      </c>
      <c r="L75" s="80">
        <v>11</v>
      </c>
      <c r="M75" s="80">
        <v>97</v>
      </c>
      <c r="N75" s="80">
        <f>O75+P75+Q75</f>
        <v>123</v>
      </c>
      <c r="O75" s="80">
        <v>35</v>
      </c>
      <c r="P75" s="80">
        <v>11</v>
      </c>
      <c r="Q75" s="80">
        <v>77</v>
      </c>
      <c r="T75" s="51"/>
      <c r="U75" s="13"/>
      <c r="V75" s="51"/>
      <c r="W75" s="2"/>
    </row>
    <row r="76" spans="2:23" x14ac:dyDescent="0.15">
      <c r="D76" s="85"/>
      <c r="E76" s="441"/>
      <c r="F76" s="58">
        <f t="shared" ref="F76:Q76" si="15">ROUND(F75/(F$73+F$75),3)</f>
        <v>0.24199999999999999</v>
      </c>
      <c r="G76" s="59">
        <f t="shared" si="15"/>
        <v>0.47399999999999998</v>
      </c>
      <c r="H76" s="59">
        <f t="shared" si="15"/>
        <v>0.06</v>
      </c>
      <c r="I76" s="60">
        <f t="shared" si="15"/>
        <v>0.25900000000000001</v>
      </c>
      <c r="J76" s="58">
        <f t="shared" si="15"/>
        <v>0.26</v>
      </c>
      <c r="K76" s="59">
        <f t="shared" si="15"/>
        <v>0.50900000000000001</v>
      </c>
      <c r="L76" s="59">
        <f t="shared" si="15"/>
        <v>7.0000000000000007E-2</v>
      </c>
      <c r="M76" s="59">
        <f t="shared" si="15"/>
        <v>0.314</v>
      </c>
      <c r="N76" s="59">
        <f t="shared" si="15"/>
        <v>0.215</v>
      </c>
      <c r="O76" s="59">
        <f t="shared" si="15"/>
        <v>0.54700000000000004</v>
      </c>
      <c r="P76" s="59">
        <f t="shared" si="15"/>
        <v>0.06</v>
      </c>
      <c r="Q76" s="59">
        <f t="shared" si="15"/>
        <v>0.23599999999999999</v>
      </c>
      <c r="R76" s="51"/>
      <c r="S76" s="51"/>
      <c r="T76" s="51"/>
      <c r="U76" s="13"/>
      <c r="V76" s="51"/>
      <c r="W76" s="2"/>
    </row>
    <row r="77" spans="2:23" ht="13.5" hidden="1" customHeight="1" x14ac:dyDescent="0.15">
      <c r="D77" s="85"/>
      <c r="E77" s="439" t="s">
        <v>62</v>
      </c>
      <c r="F77" s="79"/>
      <c r="G77" s="80">
        <v>0</v>
      </c>
      <c r="H77" s="80"/>
      <c r="I77" s="86"/>
      <c r="J77" s="79"/>
      <c r="K77" s="80">
        <v>0</v>
      </c>
      <c r="L77" s="80"/>
      <c r="M77" s="80"/>
      <c r="N77" s="80"/>
      <c r="O77" s="80">
        <v>0</v>
      </c>
      <c r="P77" s="80"/>
      <c r="Q77" s="80"/>
      <c r="T77" s="2"/>
      <c r="U77" s="13"/>
      <c r="V77" s="2"/>
      <c r="W77" s="2"/>
    </row>
    <row r="78" spans="2:23" ht="13.5" hidden="1" customHeight="1" x14ac:dyDescent="0.15">
      <c r="D78" s="85"/>
      <c r="E78" s="441"/>
      <c r="F78" s="58" t="e">
        <f>ROUND(F77/(F$73+F$75+#REF!),3)</f>
        <v>#REF!</v>
      </c>
      <c r="G78" s="59" t="e">
        <f>ROUND(G77/(G$73+G$75+#REF!),3)</f>
        <v>#REF!</v>
      </c>
      <c r="H78" s="59" t="e">
        <f>ROUND(H77/(H$73+H$75+#REF!),3)</f>
        <v>#REF!</v>
      </c>
      <c r="I78" s="60" t="e">
        <f>ROUND(I77/(I$73+I$75+#REF!),3)</f>
        <v>#REF!</v>
      </c>
      <c r="J78" s="58" t="e">
        <f>ROUND(J77/(J$73+J$75+#REF!),3)</f>
        <v>#REF!</v>
      </c>
      <c r="K78" s="59" t="e">
        <f>ROUND(K77/(K$73+K$75+#REF!),3)</f>
        <v>#REF!</v>
      </c>
      <c r="L78" s="59" t="e">
        <f>ROUND(L77/(L$73+L$75+#REF!),3)</f>
        <v>#REF!</v>
      </c>
      <c r="M78" s="59" t="e">
        <f>ROUND(M77/(M$73+M$75+#REF!),3)</f>
        <v>#REF!</v>
      </c>
      <c r="N78" s="59" t="e">
        <f>ROUND(N77/(N$73+N$75+#REF!),3)</f>
        <v>#REF!</v>
      </c>
      <c r="O78" s="59" t="e">
        <f>ROUND(O77/(O$73+O$75+#REF!),3)</f>
        <v>#REF!</v>
      </c>
      <c r="P78" s="59" t="e">
        <f>ROUND(P77/(P$73+P$75+#REF!),3)</f>
        <v>#REF!</v>
      </c>
      <c r="Q78" s="59" t="e">
        <f>ROUND(Q77/(Q$73+Q$75+#REF!),3)</f>
        <v>#REF!</v>
      </c>
      <c r="R78" s="51"/>
      <c r="S78" s="51"/>
      <c r="T78" s="2"/>
      <c r="U78" s="13"/>
      <c r="V78" s="2"/>
      <c r="W78" s="2"/>
    </row>
    <row r="79" spans="2:23" x14ac:dyDescent="0.15">
      <c r="D79" s="439" t="s">
        <v>63</v>
      </c>
      <c r="E79" s="440"/>
      <c r="F79" s="79">
        <f>G79+H79+I79</f>
        <v>145</v>
      </c>
      <c r="G79" s="80">
        <v>8</v>
      </c>
      <c r="H79" s="80">
        <v>25</v>
      </c>
      <c r="I79" s="86">
        <v>112</v>
      </c>
      <c r="J79" s="79">
        <f>K79+L79+M79</f>
        <v>138</v>
      </c>
      <c r="K79" s="80">
        <v>7</v>
      </c>
      <c r="L79" s="80">
        <v>23</v>
      </c>
      <c r="M79" s="80">
        <v>108</v>
      </c>
      <c r="N79" s="80">
        <f>O79+P79+Q79</f>
        <v>124</v>
      </c>
      <c r="O79" s="80">
        <v>9</v>
      </c>
      <c r="P79" s="80">
        <v>33</v>
      </c>
      <c r="Q79" s="80">
        <v>82</v>
      </c>
      <c r="T79" s="2"/>
      <c r="U79" s="13"/>
      <c r="V79" s="2"/>
      <c r="W79" s="2"/>
    </row>
    <row r="80" spans="2:23" x14ac:dyDescent="0.15">
      <c r="D80" s="441"/>
      <c r="E80" s="442"/>
      <c r="F80" s="58">
        <f t="shared" ref="F80:Q80" si="16">ROUND(F79/(F71+F79),3)</f>
        <v>0.24399999999999999</v>
      </c>
      <c r="G80" s="59">
        <f t="shared" si="16"/>
        <v>0.123</v>
      </c>
      <c r="H80" s="59">
        <f t="shared" si="16"/>
        <v>0.2</v>
      </c>
      <c r="I80" s="60">
        <f t="shared" si="16"/>
        <v>0.27700000000000002</v>
      </c>
      <c r="J80" s="58">
        <f t="shared" si="16"/>
        <v>0.21</v>
      </c>
      <c r="K80" s="59">
        <f t="shared" si="16"/>
        <v>0.11700000000000001</v>
      </c>
      <c r="L80" s="59">
        <f t="shared" si="16"/>
        <v>0.127</v>
      </c>
      <c r="M80" s="59">
        <f t="shared" si="16"/>
        <v>0.25900000000000001</v>
      </c>
      <c r="N80" s="59">
        <f t="shared" si="16"/>
        <v>0.17799999999999999</v>
      </c>
      <c r="O80" s="61">
        <f t="shared" si="16"/>
        <v>0.123</v>
      </c>
      <c r="P80" s="61">
        <f t="shared" si="16"/>
        <v>0.153</v>
      </c>
      <c r="Q80" s="61">
        <f t="shared" si="16"/>
        <v>0.20100000000000001</v>
      </c>
      <c r="R80" s="51"/>
      <c r="S80" s="51"/>
      <c r="T80" s="2"/>
      <c r="U80" s="13"/>
      <c r="V80" s="2"/>
      <c r="W80" s="2"/>
    </row>
    <row r="81" spans="2:23" x14ac:dyDescent="0.15">
      <c r="D81" s="449" t="s">
        <v>53</v>
      </c>
      <c r="E81" s="426"/>
      <c r="F81" s="79">
        <f t="shared" ref="F81:Q81" si="17">F71+F79</f>
        <v>595</v>
      </c>
      <c r="G81" s="80">
        <f t="shared" si="17"/>
        <v>65</v>
      </c>
      <c r="H81" s="80">
        <f t="shared" si="17"/>
        <v>125</v>
      </c>
      <c r="I81" s="86">
        <f t="shared" si="17"/>
        <v>405</v>
      </c>
      <c r="J81" s="79">
        <f t="shared" si="17"/>
        <v>658</v>
      </c>
      <c r="K81" s="80">
        <f t="shared" si="17"/>
        <v>60</v>
      </c>
      <c r="L81" s="80">
        <f t="shared" si="17"/>
        <v>181</v>
      </c>
      <c r="M81" s="80">
        <f t="shared" si="17"/>
        <v>417</v>
      </c>
      <c r="N81" s="88">
        <f t="shared" si="17"/>
        <v>696</v>
      </c>
      <c r="O81" s="80">
        <f t="shared" si="17"/>
        <v>73</v>
      </c>
      <c r="P81" s="87">
        <f t="shared" si="17"/>
        <v>215</v>
      </c>
      <c r="Q81" s="80">
        <f t="shared" si="17"/>
        <v>408</v>
      </c>
      <c r="T81" s="2"/>
      <c r="U81" s="13"/>
      <c r="V81" s="2"/>
      <c r="W81" s="2"/>
    </row>
    <row r="82" spans="2:23" ht="14.25" thickBot="1" x14ac:dyDescent="0.2">
      <c r="D82" s="449"/>
      <c r="E82" s="426"/>
      <c r="F82" s="65">
        <f t="shared" ref="F82:Q82" si="18">F72+F80</f>
        <v>1</v>
      </c>
      <c r="G82" s="66">
        <f t="shared" si="18"/>
        <v>1</v>
      </c>
      <c r="H82" s="66">
        <f t="shared" si="18"/>
        <v>1</v>
      </c>
      <c r="I82" s="67">
        <f t="shared" si="18"/>
        <v>1</v>
      </c>
      <c r="J82" s="68">
        <f t="shared" si="18"/>
        <v>1</v>
      </c>
      <c r="K82" s="69">
        <f t="shared" si="18"/>
        <v>1</v>
      </c>
      <c r="L82" s="69">
        <f t="shared" si="18"/>
        <v>1</v>
      </c>
      <c r="M82" s="69">
        <f t="shared" si="18"/>
        <v>1</v>
      </c>
      <c r="N82" s="89">
        <f t="shared" si="18"/>
        <v>1</v>
      </c>
      <c r="O82" s="69">
        <f t="shared" si="18"/>
        <v>1</v>
      </c>
      <c r="P82" s="71">
        <f t="shared" si="18"/>
        <v>1</v>
      </c>
      <c r="Q82" s="69">
        <f t="shared" si="18"/>
        <v>1</v>
      </c>
      <c r="R82" s="72"/>
      <c r="S82" s="72"/>
      <c r="T82" s="46"/>
      <c r="U82" s="47"/>
      <c r="V82" s="46"/>
      <c r="W82" s="2"/>
    </row>
    <row r="83" spans="2:23" x14ac:dyDescent="0.15">
      <c r="K83" s="52"/>
      <c r="O83" s="52"/>
    </row>
    <row r="84" spans="2:23" x14ac:dyDescent="0.15">
      <c r="K84" s="52"/>
      <c r="O84" s="52"/>
    </row>
    <row r="85" spans="2:23" ht="14.25" thickBot="1" x14ac:dyDescent="0.2">
      <c r="B85" s="10" t="s">
        <v>64</v>
      </c>
      <c r="C85" s="10"/>
      <c r="D85" s="10"/>
      <c r="F85" s="11"/>
      <c r="G85" s="51"/>
      <c r="H85" s="51"/>
      <c r="I85" s="51"/>
      <c r="J85" s="51"/>
      <c r="K85" s="52"/>
      <c r="N85" s="51"/>
      <c r="O85" s="52"/>
    </row>
    <row r="86" spans="2:23" x14ac:dyDescent="0.15">
      <c r="D86" s="399"/>
      <c r="E86" s="386"/>
      <c r="F86" s="444" t="s">
        <v>26</v>
      </c>
      <c r="G86" s="455"/>
      <c r="H86" s="455"/>
      <c r="I86" s="456"/>
      <c r="J86" s="503" t="s">
        <v>27</v>
      </c>
      <c r="K86" s="449"/>
      <c r="L86" s="449"/>
      <c r="M86" s="449"/>
      <c r="N86" s="399" t="s">
        <v>28</v>
      </c>
      <c r="O86" s="386"/>
      <c r="P86" s="386"/>
      <c r="Q86" s="387"/>
      <c r="R86" s="12"/>
      <c r="S86" s="12"/>
      <c r="T86" s="2"/>
      <c r="U86" s="13"/>
      <c r="V86" s="2"/>
      <c r="W86" s="2"/>
    </row>
    <row r="87" spans="2:23" x14ac:dyDescent="0.15">
      <c r="D87" s="400"/>
      <c r="E87" s="443"/>
      <c r="F87" s="371"/>
      <c r="G87" s="364" t="s">
        <v>29</v>
      </c>
      <c r="H87" s="364" t="s">
        <v>30</v>
      </c>
      <c r="I87" s="374" t="s">
        <v>31</v>
      </c>
      <c r="J87" s="14"/>
      <c r="K87" s="15" t="s">
        <v>29</v>
      </c>
      <c r="L87" s="15" t="s">
        <v>30</v>
      </c>
      <c r="M87" s="375" t="s">
        <v>31</v>
      </c>
      <c r="N87" s="372"/>
      <c r="O87" s="364" t="s">
        <v>29</v>
      </c>
      <c r="P87" s="364" t="s">
        <v>30</v>
      </c>
      <c r="Q87" s="375" t="s">
        <v>31</v>
      </c>
      <c r="R87" s="20"/>
      <c r="S87" s="20"/>
      <c r="T87" s="2"/>
      <c r="U87" s="13"/>
      <c r="V87" s="2"/>
      <c r="W87" s="2"/>
    </row>
    <row r="88" spans="2:23" x14ac:dyDescent="0.15">
      <c r="D88" s="439" t="s">
        <v>59</v>
      </c>
      <c r="E88" s="440"/>
      <c r="F88" s="54">
        <f t="shared" ref="F88:Q88" si="19">F90+F92+F94</f>
        <v>366</v>
      </c>
      <c r="G88" s="55">
        <f t="shared" si="19"/>
        <v>47</v>
      </c>
      <c r="H88" s="55">
        <f t="shared" si="19"/>
        <v>85</v>
      </c>
      <c r="I88" s="56">
        <f t="shared" si="19"/>
        <v>234</v>
      </c>
      <c r="J88" s="54">
        <f t="shared" si="19"/>
        <v>416</v>
      </c>
      <c r="K88" s="55">
        <f t="shared" si="19"/>
        <v>43</v>
      </c>
      <c r="L88" s="55">
        <f t="shared" si="19"/>
        <v>136</v>
      </c>
      <c r="M88" s="55">
        <f t="shared" si="19"/>
        <v>237</v>
      </c>
      <c r="N88" s="55">
        <f t="shared" si="19"/>
        <v>463</v>
      </c>
      <c r="O88" s="55">
        <f t="shared" si="19"/>
        <v>56</v>
      </c>
      <c r="P88" s="55">
        <f t="shared" si="19"/>
        <v>154</v>
      </c>
      <c r="Q88" s="55">
        <f t="shared" si="19"/>
        <v>253</v>
      </c>
      <c r="T88" s="2"/>
      <c r="U88" s="13"/>
      <c r="V88" s="2"/>
      <c r="W88" s="2"/>
    </row>
    <row r="89" spans="2:23" x14ac:dyDescent="0.15">
      <c r="D89" s="514"/>
      <c r="E89" s="442"/>
      <c r="F89" s="58">
        <f t="shared" ref="F89:Q89" si="20">ROUND(F88/(F$88+F$96),3)</f>
        <v>0.60899999999999999</v>
      </c>
      <c r="G89" s="59">
        <f t="shared" si="20"/>
        <v>0.75800000000000001</v>
      </c>
      <c r="H89" s="59">
        <f t="shared" si="20"/>
        <v>0.68500000000000005</v>
      </c>
      <c r="I89" s="60">
        <f t="shared" si="20"/>
        <v>0.56399999999999995</v>
      </c>
      <c r="J89" s="58">
        <f t="shared" si="20"/>
        <v>0.64800000000000002</v>
      </c>
      <c r="K89" s="59">
        <f t="shared" si="20"/>
        <v>0.76800000000000002</v>
      </c>
      <c r="L89" s="59">
        <f t="shared" si="20"/>
        <v>0.76</v>
      </c>
      <c r="M89" s="59">
        <f t="shared" si="20"/>
        <v>0.58199999999999996</v>
      </c>
      <c r="N89" s="59">
        <f t="shared" si="20"/>
        <v>0.68300000000000005</v>
      </c>
      <c r="O89" s="59">
        <f t="shared" si="20"/>
        <v>0.76700000000000002</v>
      </c>
      <c r="P89" s="59">
        <f t="shared" si="20"/>
        <v>0.74</v>
      </c>
      <c r="Q89" s="59">
        <f t="shared" si="20"/>
        <v>0.63700000000000001</v>
      </c>
      <c r="R89" s="51"/>
      <c r="S89" s="51"/>
      <c r="T89" s="2"/>
      <c r="U89" s="13"/>
      <c r="V89" s="2"/>
      <c r="W89" s="2"/>
    </row>
    <row r="90" spans="2:23" x14ac:dyDescent="0.15">
      <c r="D90" s="85"/>
      <c r="E90" s="439" t="s">
        <v>60</v>
      </c>
      <c r="F90" s="54">
        <f>G90+H90+I90</f>
        <v>166</v>
      </c>
      <c r="G90" s="55">
        <v>11</v>
      </c>
      <c r="H90" s="55">
        <v>56</v>
      </c>
      <c r="I90" s="56">
        <v>99</v>
      </c>
      <c r="J90" s="54">
        <f>K90+L90+M90</f>
        <v>190</v>
      </c>
      <c r="K90" s="55">
        <v>9</v>
      </c>
      <c r="L90" s="55">
        <v>74</v>
      </c>
      <c r="M90" s="55">
        <v>107</v>
      </c>
      <c r="N90" s="55">
        <f>O90+P90+Q90</f>
        <v>230</v>
      </c>
      <c r="O90" s="55">
        <v>14</v>
      </c>
      <c r="P90" s="55">
        <v>95</v>
      </c>
      <c r="Q90" s="55">
        <v>121</v>
      </c>
      <c r="T90" s="2"/>
      <c r="U90" s="13"/>
      <c r="V90" s="2"/>
      <c r="W90" s="2"/>
    </row>
    <row r="91" spans="2:23" x14ac:dyDescent="0.15">
      <c r="D91" s="85"/>
      <c r="E91" s="514"/>
      <c r="F91" s="58">
        <f t="shared" ref="F91:Q91" si="21">ROUND(F90/(F$90+F$92+F$94),3)</f>
        <v>0.45400000000000001</v>
      </c>
      <c r="G91" s="59">
        <f t="shared" si="21"/>
        <v>0.23400000000000001</v>
      </c>
      <c r="H91" s="59">
        <f t="shared" si="21"/>
        <v>0.65900000000000003</v>
      </c>
      <c r="I91" s="60">
        <f t="shared" si="21"/>
        <v>0.42299999999999999</v>
      </c>
      <c r="J91" s="58">
        <f t="shared" si="21"/>
        <v>0.45700000000000002</v>
      </c>
      <c r="K91" s="59">
        <f t="shared" si="21"/>
        <v>0.20899999999999999</v>
      </c>
      <c r="L91" s="59">
        <f t="shared" si="21"/>
        <v>0.54400000000000004</v>
      </c>
      <c r="M91" s="59">
        <f t="shared" si="21"/>
        <v>0.45100000000000001</v>
      </c>
      <c r="N91" s="59">
        <f t="shared" si="21"/>
        <v>0.497</v>
      </c>
      <c r="O91" s="59">
        <f t="shared" si="21"/>
        <v>0.25</v>
      </c>
      <c r="P91" s="59">
        <f t="shared" si="21"/>
        <v>0.61699999999999999</v>
      </c>
      <c r="Q91" s="59">
        <f t="shared" si="21"/>
        <v>0.47799999999999998</v>
      </c>
      <c r="R91" s="51"/>
      <c r="S91" s="51"/>
      <c r="T91" s="51"/>
      <c r="U91" s="13"/>
      <c r="V91" s="51"/>
      <c r="W91" s="2"/>
    </row>
    <row r="92" spans="2:23" x14ac:dyDescent="0.15">
      <c r="D92" s="85"/>
      <c r="E92" s="439" t="s">
        <v>61</v>
      </c>
      <c r="F92" s="54">
        <f>G92+H92+I92</f>
        <v>153</v>
      </c>
      <c r="G92" s="80">
        <v>29</v>
      </c>
      <c r="H92" s="80">
        <v>20</v>
      </c>
      <c r="I92" s="56">
        <v>104</v>
      </c>
      <c r="J92" s="54">
        <f>K92+L92+M92</f>
        <v>171</v>
      </c>
      <c r="K92" s="80">
        <v>31</v>
      </c>
      <c r="L92" s="80">
        <v>37</v>
      </c>
      <c r="M92" s="55">
        <v>103</v>
      </c>
      <c r="N92" s="55">
        <f>O92+P92+Q92</f>
        <v>175</v>
      </c>
      <c r="O92" s="80">
        <v>41</v>
      </c>
      <c r="P92" s="80">
        <v>37</v>
      </c>
      <c r="Q92" s="55">
        <v>97</v>
      </c>
      <c r="T92" s="51"/>
      <c r="U92" s="13"/>
      <c r="V92" s="51"/>
      <c r="W92" s="2"/>
    </row>
    <row r="93" spans="2:23" x14ac:dyDescent="0.15">
      <c r="D93" s="85"/>
      <c r="E93" s="441"/>
      <c r="F93" s="58">
        <f t="shared" ref="F93:Q93" si="22">ROUND(F92/(F$90+F$92+F$94),3)</f>
        <v>0.41799999999999998</v>
      </c>
      <c r="G93" s="59">
        <f t="shared" si="22"/>
        <v>0.61699999999999999</v>
      </c>
      <c r="H93" s="59">
        <f t="shared" si="22"/>
        <v>0.23499999999999999</v>
      </c>
      <c r="I93" s="60">
        <f t="shared" si="22"/>
        <v>0.44400000000000001</v>
      </c>
      <c r="J93" s="58">
        <f t="shared" si="22"/>
        <v>0.41099999999999998</v>
      </c>
      <c r="K93" s="59">
        <f t="shared" si="22"/>
        <v>0.72099999999999997</v>
      </c>
      <c r="L93" s="59">
        <f t="shared" si="22"/>
        <v>0.27200000000000002</v>
      </c>
      <c r="M93" s="59">
        <f t="shared" si="22"/>
        <v>0.435</v>
      </c>
      <c r="N93" s="59">
        <f t="shared" si="22"/>
        <v>0.378</v>
      </c>
      <c r="O93" s="59">
        <f t="shared" si="22"/>
        <v>0.73199999999999998</v>
      </c>
      <c r="P93" s="59">
        <f t="shared" si="22"/>
        <v>0.24</v>
      </c>
      <c r="Q93" s="59">
        <f t="shared" si="22"/>
        <v>0.38300000000000001</v>
      </c>
      <c r="R93" s="51"/>
      <c r="S93" s="51"/>
      <c r="T93" s="51"/>
      <c r="U93" s="13"/>
      <c r="V93" s="51"/>
      <c r="W93" s="2"/>
    </row>
    <row r="94" spans="2:23" x14ac:dyDescent="0.15">
      <c r="D94" s="85"/>
      <c r="E94" s="514" t="s">
        <v>62</v>
      </c>
      <c r="F94" s="54">
        <f>G94+H94+I94</f>
        <v>47</v>
      </c>
      <c r="G94" s="80">
        <v>7</v>
      </c>
      <c r="H94" s="80">
        <v>9</v>
      </c>
      <c r="I94" s="56">
        <v>31</v>
      </c>
      <c r="J94" s="54">
        <f>K94+L94+M94</f>
        <v>55</v>
      </c>
      <c r="K94" s="80">
        <v>3</v>
      </c>
      <c r="L94" s="80">
        <v>25</v>
      </c>
      <c r="M94" s="55">
        <v>27</v>
      </c>
      <c r="N94" s="55">
        <f>O94+P94+Q94</f>
        <v>58</v>
      </c>
      <c r="O94" s="80">
        <v>1</v>
      </c>
      <c r="P94" s="80">
        <v>22</v>
      </c>
      <c r="Q94" s="55">
        <v>35</v>
      </c>
      <c r="T94" s="51"/>
      <c r="U94" s="13"/>
      <c r="V94" s="51"/>
      <c r="W94" s="2"/>
    </row>
    <row r="95" spans="2:23" x14ac:dyDescent="0.15">
      <c r="D95" s="85"/>
      <c r="E95" s="441"/>
      <c r="F95" s="58">
        <f t="shared" ref="F95:Q95" si="23">ROUND(F94/(F$90+F$92+F$94),3)</f>
        <v>0.128</v>
      </c>
      <c r="G95" s="59">
        <f t="shared" si="23"/>
        <v>0.14899999999999999</v>
      </c>
      <c r="H95" s="59">
        <f t="shared" si="23"/>
        <v>0.106</v>
      </c>
      <c r="I95" s="60">
        <f t="shared" si="23"/>
        <v>0.13200000000000001</v>
      </c>
      <c r="J95" s="58">
        <f t="shared" si="23"/>
        <v>0.13200000000000001</v>
      </c>
      <c r="K95" s="59">
        <f t="shared" si="23"/>
        <v>7.0000000000000007E-2</v>
      </c>
      <c r="L95" s="59">
        <f t="shared" si="23"/>
        <v>0.184</v>
      </c>
      <c r="M95" s="59">
        <f t="shared" si="23"/>
        <v>0.114</v>
      </c>
      <c r="N95" s="59">
        <f t="shared" si="23"/>
        <v>0.125</v>
      </c>
      <c r="O95" s="59">
        <f t="shared" si="23"/>
        <v>1.7999999999999999E-2</v>
      </c>
      <c r="P95" s="59">
        <f t="shared" si="23"/>
        <v>0.14299999999999999</v>
      </c>
      <c r="Q95" s="59">
        <f t="shared" si="23"/>
        <v>0.13800000000000001</v>
      </c>
      <c r="R95" s="51"/>
      <c r="S95" s="51"/>
      <c r="T95" s="2"/>
      <c r="U95" s="13"/>
      <c r="V95" s="2"/>
      <c r="W95" s="2"/>
    </row>
    <row r="96" spans="2:23" x14ac:dyDescent="0.15">
      <c r="D96" s="439" t="s">
        <v>63</v>
      </c>
      <c r="E96" s="440"/>
      <c r="F96" s="54">
        <f>G96+H96+I96</f>
        <v>235</v>
      </c>
      <c r="G96" s="80">
        <v>15</v>
      </c>
      <c r="H96" s="80">
        <v>39</v>
      </c>
      <c r="I96" s="56">
        <v>181</v>
      </c>
      <c r="J96" s="54">
        <f>K96+L96+M96</f>
        <v>226</v>
      </c>
      <c r="K96" s="80">
        <v>13</v>
      </c>
      <c r="L96" s="80">
        <v>43</v>
      </c>
      <c r="M96" s="55">
        <v>170</v>
      </c>
      <c r="N96" s="55">
        <f>O96+P96+Q96</f>
        <v>215</v>
      </c>
      <c r="O96" s="80">
        <v>17</v>
      </c>
      <c r="P96" s="80">
        <v>54</v>
      </c>
      <c r="Q96" s="55">
        <v>144</v>
      </c>
      <c r="T96" s="2"/>
      <c r="U96" s="13"/>
      <c r="V96" s="2"/>
      <c r="W96" s="2"/>
    </row>
    <row r="97" spans="2:23" x14ac:dyDescent="0.15">
      <c r="D97" s="441"/>
      <c r="E97" s="442"/>
      <c r="F97" s="58">
        <f t="shared" ref="F97:Q97" si="24">ROUND(F96/(F$88+F$96),3)</f>
        <v>0.39100000000000001</v>
      </c>
      <c r="G97" s="59">
        <f t="shared" si="24"/>
        <v>0.24199999999999999</v>
      </c>
      <c r="H97" s="59">
        <f t="shared" si="24"/>
        <v>0.315</v>
      </c>
      <c r="I97" s="60">
        <f t="shared" si="24"/>
        <v>0.436</v>
      </c>
      <c r="J97" s="58">
        <f t="shared" si="24"/>
        <v>0.35199999999999998</v>
      </c>
      <c r="K97" s="59">
        <f t="shared" si="24"/>
        <v>0.23200000000000001</v>
      </c>
      <c r="L97" s="59">
        <f t="shared" si="24"/>
        <v>0.24</v>
      </c>
      <c r="M97" s="59">
        <f t="shared" si="24"/>
        <v>0.41799999999999998</v>
      </c>
      <c r="N97" s="59">
        <f t="shared" si="24"/>
        <v>0.317</v>
      </c>
      <c r="O97" s="59">
        <f t="shared" si="24"/>
        <v>0.23300000000000001</v>
      </c>
      <c r="P97" s="59">
        <f t="shared" si="24"/>
        <v>0.26</v>
      </c>
      <c r="Q97" s="59">
        <f t="shared" si="24"/>
        <v>0.36299999999999999</v>
      </c>
      <c r="R97" s="51"/>
      <c r="S97" s="51"/>
      <c r="T97" s="2"/>
      <c r="U97" s="13"/>
      <c r="V97" s="2"/>
      <c r="W97" s="2"/>
    </row>
    <row r="98" spans="2:23" x14ac:dyDescent="0.15">
      <c r="D98" s="449" t="s">
        <v>53</v>
      </c>
      <c r="E98" s="426"/>
      <c r="F98" s="54">
        <f t="shared" ref="F98:Q98" si="25">F88+F96</f>
        <v>601</v>
      </c>
      <c r="G98" s="55">
        <f t="shared" si="25"/>
        <v>62</v>
      </c>
      <c r="H98" s="55">
        <f t="shared" si="25"/>
        <v>124</v>
      </c>
      <c r="I98" s="56">
        <f t="shared" si="25"/>
        <v>415</v>
      </c>
      <c r="J98" s="54">
        <f t="shared" si="25"/>
        <v>642</v>
      </c>
      <c r="K98" s="55">
        <f t="shared" si="25"/>
        <v>56</v>
      </c>
      <c r="L98" s="55">
        <f t="shared" si="25"/>
        <v>179</v>
      </c>
      <c r="M98" s="55">
        <f t="shared" si="25"/>
        <v>407</v>
      </c>
      <c r="N98" s="80">
        <f t="shared" si="25"/>
        <v>678</v>
      </c>
      <c r="O98" s="88">
        <f t="shared" si="25"/>
        <v>73</v>
      </c>
      <c r="P98" s="80">
        <f t="shared" si="25"/>
        <v>208</v>
      </c>
      <c r="Q98" s="80">
        <f t="shared" si="25"/>
        <v>397</v>
      </c>
      <c r="T98" s="2"/>
      <c r="U98" s="13"/>
      <c r="V98" s="2"/>
      <c r="W98" s="2"/>
    </row>
    <row r="99" spans="2:23" ht="14.25" thickBot="1" x14ac:dyDescent="0.2">
      <c r="D99" s="449"/>
      <c r="E99" s="426"/>
      <c r="F99" s="65">
        <f t="shared" ref="F99:Q99" si="26">F89+F97</f>
        <v>1</v>
      </c>
      <c r="G99" s="66">
        <f t="shared" si="26"/>
        <v>1</v>
      </c>
      <c r="H99" s="66">
        <f t="shared" si="26"/>
        <v>1</v>
      </c>
      <c r="I99" s="67">
        <f t="shared" si="26"/>
        <v>1</v>
      </c>
      <c r="J99" s="68">
        <f t="shared" si="26"/>
        <v>1</v>
      </c>
      <c r="K99" s="69">
        <f t="shared" si="26"/>
        <v>1</v>
      </c>
      <c r="L99" s="69">
        <f t="shared" si="26"/>
        <v>1</v>
      </c>
      <c r="M99" s="69">
        <f t="shared" si="26"/>
        <v>1</v>
      </c>
      <c r="N99" s="69">
        <f t="shared" si="26"/>
        <v>1</v>
      </c>
      <c r="O99" s="89">
        <f t="shared" si="26"/>
        <v>1</v>
      </c>
      <c r="P99" s="69">
        <f t="shared" si="26"/>
        <v>1</v>
      </c>
      <c r="Q99" s="69">
        <f t="shared" si="26"/>
        <v>1</v>
      </c>
      <c r="R99" s="72"/>
      <c r="S99" s="72"/>
      <c r="T99" s="46"/>
      <c r="U99" s="47"/>
      <c r="V99" s="46"/>
      <c r="W99" s="2"/>
    </row>
    <row r="100" spans="2:23" x14ac:dyDescent="0.15">
      <c r="F100" s="72"/>
      <c r="G100" s="72"/>
      <c r="H100" s="72"/>
      <c r="I100" s="72"/>
      <c r="J100" s="72"/>
      <c r="K100" s="90"/>
      <c r="L100" s="72"/>
      <c r="N100" s="72"/>
      <c r="O100" s="90"/>
      <c r="P100" s="72"/>
    </row>
    <row r="101" spans="2:23" x14ac:dyDescent="0.15">
      <c r="F101" s="72"/>
      <c r="G101" s="72"/>
      <c r="H101" s="72"/>
      <c r="I101" s="72"/>
      <c r="J101" s="72"/>
      <c r="K101" s="90"/>
      <c r="L101" s="72"/>
      <c r="N101" s="72"/>
      <c r="O101" s="90"/>
      <c r="P101" s="72"/>
    </row>
    <row r="102" spans="2:23" ht="14.25" thickBot="1" x14ac:dyDescent="0.2">
      <c r="B102" s="10" t="s">
        <v>65</v>
      </c>
      <c r="F102" s="11"/>
      <c r="K102" s="52"/>
      <c r="O102" s="52"/>
    </row>
    <row r="103" spans="2:23" x14ac:dyDescent="0.15">
      <c r="D103" s="91"/>
      <c r="E103" s="92"/>
      <c r="F103" s="444" t="s">
        <v>26</v>
      </c>
      <c r="G103" s="455"/>
      <c r="H103" s="455"/>
      <c r="I103" s="456"/>
      <c r="J103" s="503" t="s">
        <v>27</v>
      </c>
      <c r="K103" s="449"/>
      <c r="L103" s="449"/>
      <c r="M103" s="449"/>
      <c r="N103" s="399" t="s">
        <v>28</v>
      </c>
      <c r="O103" s="386"/>
      <c r="P103" s="386"/>
      <c r="Q103" s="387"/>
      <c r="R103" s="12"/>
      <c r="S103" s="12"/>
      <c r="T103" s="2"/>
      <c r="U103" s="13"/>
      <c r="V103" s="2"/>
      <c r="W103" s="2"/>
    </row>
    <row r="104" spans="2:23" x14ac:dyDescent="0.15">
      <c r="D104" s="93"/>
      <c r="E104" s="94"/>
      <c r="F104" s="371"/>
      <c r="G104" s="364" t="s">
        <v>29</v>
      </c>
      <c r="H104" s="364" t="s">
        <v>30</v>
      </c>
      <c r="I104" s="374" t="s">
        <v>31</v>
      </c>
      <c r="J104" s="14"/>
      <c r="K104" s="15" t="s">
        <v>29</v>
      </c>
      <c r="L104" s="15" t="s">
        <v>30</v>
      </c>
      <c r="M104" s="375" t="s">
        <v>31</v>
      </c>
      <c r="N104" s="372"/>
      <c r="O104" s="364" t="s">
        <v>29</v>
      </c>
      <c r="P104" s="364" t="s">
        <v>30</v>
      </c>
      <c r="Q104" s="375" t="s">
        <v>31</v>
      </c>
      <c r="R104" s="20"/>
      <c r="S104" s="20"/>
      <c r="T104" s="2"/>
      <c r="U104" s="13"/>
      <c r="V104" s="2"/>
      <c r="W104" s="2"/>
    </row>
    <row r="105" spans="2:23" x14ac:dyDescent="0.15">
      <c r="D105" s="439" t="s">
        <v>66</v>
      </c>
      <c r="E105" s="440"/>
      <c r="F105" s="54">
        <f>G105+H105+I105</f>
        <v>414</v>
      </c>
      <c r="G105" s="55">
        <v>26</v>
      </c>
      <c r="H105" s="55">
        <v>95</v>
      </c>
      <c r="I105" s="56">
        <v>293</v>
      </c>
      <c r="J105" s="54">
        <f>K105+L105+M105</f>
        <v>427</v>
      </c>
      <c r="K105" s="55">
        <v>24</v>
      </c>
      <c r="L105" s="55">
        <v>129</v>
      </c>
      <c r="M105" s="55">
        <v>274</v>
      </c>
      <c r="N105" s="55">
        <f>O105+P105+Q105</f>
        <v>466</v>
      </c>
      <c r="O105" s="55">
        <v>37</v>
      </c>
      <c r="P105" s="55">
        <v>147</v>
      </c>
      <c r="Q105" s="55">
        <v>282</v>
      </c>
      <c r="T105" s="95"/>
      <c r="U105" s="96"/>
      <c r="V105" s="95"/>
      <c r="W105" s="2"/>
    </row>
    <row r="106" spans="2:23" x14ac:dyDescent="0.15">
      <c r="D106" s="441"/>
      <c r="E106" s="442"/>
      <c r="F106" s="58">
        <f t="shared" ref="F106:N106" si="27">ROUND(F105/(F$105+F$109+F$107+F$119+F$111+F$113+F$115+F$117+F$121),3)</f>
        <v>0.66800000000000004</v>
      </c>
      <c r="G106" s="59">
        <f t="shared" si="27"/>
        <v>0.39400000000000002</v>
      </c>
      <c r="H106" s="59">
        <f t="shared" si="27"/>
        <v>0.754</v>
      </c>
      <c r="I106" s="60">
        <f t="shared" si="27"/>
        <v>0.68500000000000005</v>
      </c>
      <c r="J106" s="58">
        <f t="shared" si="27"/>
        <v>0.64200000000000002</v>
      </c>
      <c r="K106" s="59">
        <f t="shared" si="27"/>
        <v>0.39300000000000002</v>
      </c>
      <c r="L106" s="59">
        <f t="shared" si="27"/>
        <v>0.70499999999999996</v>
      </c>
      <c r="M106" s="59">
        <f t="shared" si="27"/>
        <v>0.65100000000000002</v>
      </c>
      <c r="N106" s="59">
        <f t="shared" si="27"/>
        <v>0.65900000000000003</v>
      </c>
      <c r="O106" s="59">
        <f>ROUND(O105/(O$105+O$109+O$107+O$119+O$111+O$113+O$115+O$117+O$121),3)-0.001</f>
        <v>0.49199999999999999</v>
      </c>
      <c r="P106" s="59">
        <f>ROUND(P105/(P$105+P$109+P$107+P$119+P$111+P$113+P$115+P$117+P$121),3)</f>
        <v>0.67700000000000005</v>
      </c>
      <c r="Q106" s="59">
        <f>ROUND(Q105/(Q$105+Q$109+Q$107+Q$119+Q$111+Q$113+Q$115+Q$117+Q$121),3)-0.001</f>
        <v>0.67900000000000005</v>
      </c>
      <c r="R106" s="51"/>
      <c r="S106" s="51"/>
      <c r="T106" s="95"/>
      <c r="U106" s="96"/>
      <c r="V106" s="95"/>
      <c r="W106" s="2"/>
    </row>
    <row r="107" spans="2:23" x14ac:dyDescent="0.15">
      <c r="D107" s="439" t="s">
        <v>67</v>
      </c>
      <c r="E107" s="440"/>
      <c r="F107" s="54">
        <f>G107+H107+I107</f>
        <v>18</v>
      </c>
      <c r="G107" s="55">
        <v>3</v>
      </c>
      <c r="H107" s="55">
        <v>2</v>
      </c>
      <c r="I107" s="56">
        <v>13</v>
      </c>
      <c r="J107" s="54">
        <f>K107+L107+M107</f>
        <v>33</v>
      </c>
      <c r="K107" s="55">
        <v>4</v>
      </c>
      <c r="L107" s="55">
        <v>8</v>
      </c>
      <c r="M107" s="55">
        <v>21</v>
      </c>
      <c r="N107" s="55">
        <f>O107+P107+Q107</f>
        <v>25</v>
      </c>
      <c r="O107" s="55">
        <v>3</v>
      </c>
      <c r="P107" s="55">
        <v>9</v>
      </c>
      <c r="Q107" s="55">
        <v>13</v>
      </c>
      <c r="T107" s="95"/>
      <c r="U107" s="96"/>
      <c r="V107" s="95"/>
      <c r="W107" s="2"/>
    </row>
    <row r="108" spans="2:23" x14ac:dyDescent="0.15">
      <c r="D108" s="441"/>
      <c r="E108" s="442"/>
      <c r="F108" s="58">
        <f>ROUND(F107/(F$105+F$109+F$107+F$119+F$111+F$113+F$115+F$117+F$121),3)</f>
        <v>2.9000000000000001E-2</v>
      </c>
      <c r="G108" s="59">
        <f>ROUND(G107/(G$105+G$109+G$107+G$119+G$111+G$113+G$115+G$117+G$121),3)</f>
        <v>4.4999999999999998E-2</v>
      </c>
      <c r="H108" s="59">
        <f>ROUND(H107/(H$105+H$109+H$107+H$119+H$111+H$113+H$115+H$117+H$121),3)+0.001</f>
        <v>1.7000000000000001E-2</v>
      </c>
      <c r="I108" s="60">
        <f>ROUND(I107/(I$105+I$109+I$107+I$119+I$111+I$113+I$115+I$117+I$121),3)</f>
        <v>0.03</v>
      </c>
      <c r="J108" s="58">
        <f>ROUND(J107/(J$105+J$109+J$107+J$119+J$111+J$113+J$115+J$117+J$121),3)</f>
        <v>0.05</v>
      </c>
      <c r="K108" s="59">
        <f>ROUND(K107/(K$105+K$109+K$107+K$119+K$111+K$113+K$115+K$117+K$121),3)</f>
        <v>6.6000000000000003E-2</v>
      </c>
      <c r="L108" s="59">
        <f>ROUND(L107/(L$105+L$109+L$107+L$119+L$111+L$113+L$115+L$117+L$121),3)+0.001</f>
        <v>4.4999999999999998E-2</v>
      </c>
      <c r="M108" s="59">
        <f>ROUND(M107/(M$105+M$109+M$107+M$119+M$111+M$113+M$115+M$117+M$121),3)</f>
        <v>0.05</v>
      </c>
      <c r="N108" s="59">
        <f>ROUND(N107/(N$105+N$109+N$107+N$119+N$111+N$113+N$115+N$117+N$121),3)</f>
        <v>3.5000000000000003E-2</v>
      </c>
      <c r="O108" s="59">
        <f>ROUND(O107/(O$105+O$109+O$107+O$119+O$111+O$113+O$115+O$117+O$121),3)</f>
        <v>0.04</v>
      </c>
      <c r="P108" s="59">
        <f>ROUND(P107/(P$105+P$109+P$107+P$119+P$111+P$113+P$115+P$117+P$121),3)+0.001</f>
        <v>4.2000000000000003E-2</v>
      </c>
      <c r="Q108" s="59">
        <f>ROUND(Q107/(Q$105+Q$109+Q$107+Q$119+Q$111+Q$113+Q$115+Q$117+Q$121),3)</f>
        <v>3.1E-2</v>
      </c>
      <c r="R108" s="51"/>
      <c r="S108" s="51"/>
      <c r="T108" s="95"/>
      <c r="U108" s="96"/>
      <c r="V108" s="95"/>
      <c r="W108" s="2"/>
    </row>
    <row r="109" spans="2:23" x14ac:dyDescent="0.15">
      <c r="D109" s="439" t="s">
        <v>68</v>
      </c>
      <c r="E109" s="440"/>
      <c r="F109" s="54">
        <f>G109+H109+I109</f>
        <v>81</v>
      </c>
      <c r="G109" s="55">
        <v>10</v>
      </c>
      <c r="H109" s="55">
        <v>18</v>
      </c>
      <c r="I109" s="56">
        <v>53</v>
      </c>
      <c r="J109" s="54">
        <f>K109+L109+M109</f>
        <v>97</v>
      </c>
      <c r="K109" s="55">
        <v>10</v>
      </c>
      <c r="L109" s="55">
        <v>30</v>
      </c>
      <c r="M109" s="55">
        <v>57</v>
      </c>
      <c r="N109" s="55">
        <f>O109+P109+Q109</f>
        <v>99</v>
      </c>
      <c r="O109" s="55">
        <v>8</v>
      </c>
      <c r="P109" s="55">
        <v>31</v>
      </c>
      <c r="Q109" s="55">
        <v>60</v>
      </c>
      <c r="T109" s="95"/>
      <c r="U109" s="96"/>
      <c r="V109" s="95"/>
      <c r="W109" s="2"/>
    </row>
    <row r="110" spans="2:23" x14ac:dyDescent="0.15">
      <c r="D110" s="441"/>
      <c r="E110" s="442"/>
      <c r="F110" s="58">
        <f t="shared" ref="F110:Q110" si="28">ROUND(F109/(F$105+F$109+F$107+F$119+F$111+F$113+F$115+F$117+F$121),3)</f>
        <v>0.13100000000000001</v>
      </c>
      <c r="G110" s="59">
        <f t="shared" si="28"/>
        <v>0.152</v>
      </c>
      <c r="H110" s="59">
        <f t="shared" si="28"/>
        <v>0.14299999999999999</v>
      </c>
      <c r="I110" s="60">
        <f t="shared" si="28"/>
        <v>0.124</v>
      </c>
      <c r="J110" s="58">
        <f t="shared" si="28"/>
        <v>0.14599999999999999</v>
      </c>
      <c r="K110" s="59">
        <f t="shared" si="28"/>
        <v>0.16400000000000001</v>
      </c>
      <c r="L110" s="59">
        <f t="shared" si="28"/>
        <v>0.16400000000000001</v>
      </c>
      <c r="M110" s="59">
        <f t="shared" si="28"/>
        <v>0.13500000000000001</v>
      </c>
      <c r="N110" s="59">
        <f t="shared" si="28"/>
        <v>0.14000000000000001</v>
      </c>
      <c r="O110" s="59">
        <f t="shared" si="28"/>
        <v>0.107</v>
      </c>
      <c r="P110" s="59">
        <f t="shared" si="28"/>
        <v>0.14299999999999999</v>
      </c>
      <c r="Q110" s="59">
        <f t="shared" si="28"/>
        <v>0.14499999999999999</v>
      </c>
      <c r="R110" s="51"/>
      <c r="S110" s="51"/>
      <c r="T110" s="95"/>
      <c r="U110" s="96"/>
      <c r="V110" s="95"/>
      <c r="W110" s="2"/>
    </row>
    <row r="111" spans="2:23" x14ac:dyDescent="0.15">
      <c r="D111" s="439" t="s">
        <v>69</v>
      </c>
      <c r="E111" s="440"/>
      <c r="F111" s="54">
        <f>G111+H111+I111</f>
        <v>31</v>
      </c>
      <c r="G111" s="55">
        <v>8</v>
      </c>
      <c r="H111" s="55">
        <v>6</v>
      </c>
      <c r="I111" s="56">
        <v>17</v>
      </c>
      <c r="J111" s="54">
        <f>K111+L111+M111</f>
        <v>31</v>
      </c>
      <c r="K111" s="55">
        <v>8</v>
      </c>
      <c r="L111" s="55">
        <v>6</v>
      </c>
      <c r="M111" s="55">
        <v>17</v>
      </c>
      <c r="N111" s="55">
        <f>O111+P111+Q111</f>
        <v>34</v>
      </c>
      <c r="O111" s="55">
        <v>6</v>
      </c>
      <c r="P111" s="55">
        <v>12</v>
      </c>
      <c r="Q111" s="55">
        <v>16</v>
      </c>
      <c r="T111" s="95"/>
      <c r="U111" s="96"/>
      <c r="V111" s="95"/>
      <c r="W111" s="2"/>
    </row>
    <row r="112" spans="2:23" x14ac:dyDescent="0.15">
      <c r="D112" s="441"/>
      <c r="E112" s="442"/>
      <c r="F112" s="58">
        <f t="shared" ref="F112:Q112" si="29">ROUND(F111/(F$105+F$109+F$107+F$119+F$111+F$113+F$115+F$117+F$121),3)</f>
        <v>0.05</v>
      </c>
      <c r="G112" s="59">
        <f t="shared" si="29"/>
        <v>0.121</v>
      </c>
      <c r="H112" s="59">
        <f t="shared" si="29"/>
        <v>4.8000000000000001E-2</v>
      </c>
      <c r="I112" s="60">
        <f t="shared" si="29"/>
        <v>0.04</v>
      </c>
      <c r="J112" s="58">
        <f t="shared" si="29"/>
        <v>4.7E-2</v>
      </c>
      <c r="K112" s="59">
        <f t="shared" si="29"/>
        <v>0.13100000000000001</v>
      </c>
      <c r="L112" s="59">
        <f t="shared" si="29"/>
        <v>3.3000000000000002E-2</v>
      </c>
      <c r="M112" s="59">
        <f t="shared" si="29"/>
        <v>0.04</v>
      </c>
      <c r="N112" s="59">
        <f t="shared" si="29"/>
        <v>4.8000000000000001E-2</v>
      </c>
      <c r="O112" s="59">
        <f t="shared" si="29"/>
        <v>0.08</v>
      </c>
      <c r="P112" s="59">
        <f t="shared" si="29"/>
        <v>5.5E-2</v>
      </c>
      <c r="Q112" s="59">
        <f t="shared" si="29"/>
        <v>3.9E-2</v>
      </c>
      <c r="R112" s="51"/>
      <c r="S112" s="51"/>
      <c r="T112" s="95"/>
      <c r="U112" s="96"/>
      <c r="V112" s="95"/>
      <c r="W112" s="2"/>
    </row>
    <row r="113" spans="2:23" x14ac:dyDescent="0.15">
      <c r="D113" s="439" t="s">
        <v>70</v>
      </c>
      <c r="E113" s="440"/>
      <c r="F113" s="54">
        <f>G113+H113+I113</f>
        <v>29</v>
      </c>
      <c r="G113" s="55">
        <v>6</v>
      </c>
      <c r="H113" s="55">
        <v>2</v>
      </c>
      <c r="I113" s="56">
        <v>21</v>
      </c>
      <c r="J113" s="54">
        <f>K113+L113+M113</f>
        <v>39</v>
      </c>
      <c r="K113" s="55">
        <v>5</v>
      </c>
      <c r="L113" s="55">
        <v>7</v>
      </c>
      <c r="M113" s="55">
        <v>27</v>
      </c>
      <c r="N113" s="55">
        <f>O113+P113+Q113</f>
        <v>28</v>
      </c>
      <c r="O113" s="55">
        <v>8</v>
      </c>
      <c r="P113" s="55">
        <v>7</v>
      </c>
      <c r="Q113" s="55">
        <v>13</v>
      </c>
      <c r="T113" s="95"/>
      <c r="U113" s="96"/>
      <c r="V113" s="95"/>
      <c r="W113" s="2"/>
    </row>
    <row r="114" spans="2:23" x14ac:dyDescent="0.15">
      <c r="D114" s="441"/>
      <c r="E114" s="442"/>
      <c r="F114" s="58">
        <f t="shared" ref="F114:Q114" si="30">ROUND(F113/(F$105+F$109+F$107+F$119+F$111+F$113+F$115+F$117+F$121),3)</f>
        <v>4.7E-2</v>
      </c>
      <c r="G114" s="59">
        <f t="shared" si="30"/>
        <v>9.0999999999999998E-2</v>
      </c>
      <c r="H114" s="59">
        <f t="shared" si="30"/>
        <v>1.6E-2</v>
      </c>
      <c r="I114" s="60">
        <f t="shared" si="30"/>
        <v>4.9000000000000002E-2</v>
      </c>
      <c r="J114" s="58">
        <f t="shared" si="30"/>
        <v>5.8999999999999997E-2</v>
      </c>
      <c r="K114" s="59">
        <f t="shared" si="30"/>
        <v>8.2000000000000003E-2</v>
      </c>
      <c r="L114" s="59">
        <f t="shared" si="30"/>
        <v>3.7999999999999999E-2</v>
      </c>
      <c r="M114" s="59">
        <f t="shared" si="30"/>
        <v>6.4000000000000001E-2</v>
      </c>
      <c r="N114" s="59">
        <f t="shared" si="30"/>
        <v>0.04</v>
      </c>
      <c r="O114" s="59">
        <f t="shared" si="30"/>
        <v>0.107</v>
      </c>
      <c r="P114" s="59">
        <f t="shared" si="30"/>
        <v>3.2000000000000001E-2</v>
      </c>
      <c r="Q114" s="59">
        <f t="shared" si="30"/>
        <v>3.1E-2</v>
      </c>
      <c r="R114" s="51"/>
      <c r="S114" s="51"/>
      <c r="T114" s="95"/>
      <c r="U114" s="96"/>
      <c r="V114" s="95"/>
      <c r="W114" s="2"/>
    </row>
    <row r="115" spans="2:23" x14ac:dyDescent="0.15">
      <c r="D115" s="439" t="s">
        <v>71</v>
      </c>
      <c r="E115" s="440"/>
      <c r="F115" s="54">
        <f>G115+H115+I115</f>
        <v>13</v>
      </c>
      <c r="G115" s="55">
        <v>2</v>
      </c>
      <c r="H115" s="55">
        <v>2</v>
      </c>
      <c r="I115" s="56">
        <v>9</v>
      </c>
      <c r="J115" s="54">
        <f>K115+L115+M115</f>
        <v>10</v>
      </c>
      <c r="K115" s="55">
        <v>2</v>
      </c>
      <c r="L115" s="55">
        <v>2</v>
      </c>
      <c r="M115" s="55">
        <v>6</v>
      </c>
      <c r="N115" s="55">
        <f>O115+P115+Q115</f>
        <v>26</v>
      </c>
      <c r="O115" s="55">
        <v>3</v>
      </c>
      <c r="P115" s="55">
        <v>7</v>
      </c>
      <c r="Q115" s="55">
        <v>16</v>
      </c>
      <c r="T115" s="95"/>
      <c r="U115" s="96"/>
      <c r="V115" s="95"/>
      <c r="W115" s="2"/>
    </row>
    <row r="116" spans="2:23" x14ac:dyDescent="0.15">
      <c r="D116" s="441"/>
      <c r="E116" s="442"/>
      <c r="F116" s="58">
        <f t="shared" ref="F116:Q116" si="31">ROUND(F115/(F$105+F$109+F$107+F$119+F$111+F$113+F$115+F$117+F$121),3)</f>
        <v>2.1000000000000001E-2</v>
      </c>
      <c r="G116" s="59">
        <f t="shared" si="31"/>
        <v>0.03</v>
      </c>
      <c r="H116" s="59">
        <f t="shared" si="31"/>
        <v>1.6E-2</v>
      </c>
      <c r="I116" s="60">
        <f t="shared" si="31"/>
        <v>2.1000000000000001E-2</v>
      </c>
      <c r="J116" s="58">
        <f t="shared" si="31"/>
        <v>1.4999999999999999E-2</v>
      </c>
      <c r="K116" s="59">
        <f t="shared" si="31"/>
        <v>3.3000000000000002E-2</v>
      </c>
      <c r="L116" s="59">
        <f t="shared" si="31"/>
        <v>1.0999999999999999E-2</v>
      </c>
      <c r="M116" s="59">
        <f t="shared" si="31"/>
        <v>1.4E-2</v>
      </c>
      <c r="N116" s="59">
        <f t="shared" si="31"/>
        <v>3.6999999999999998E-2</v>
      </c>
      <c r="O116" s="59">
        <f t="shared" si="31"/>
        <v>0.04</v>
      </c>
      <c r="P116" s="59">
        <f t="shared" si="31"/>
        <v>3.2000000000000001E-2</v>
      </c>
      <c r="Q116" s="59">
        <f t="shared" si="31"/>
        <v>3.9E-2</v>
      </c>
      <c r="R116" s="51"/>
      <c r="S116" s="51"/>
      <c r="T116" s="95"/>
      <c r="U116" s="96"/>
      <c r="V116" s="95"/>
      <c r="W116" s="2"/>
    </row>
    <row r="117" spans="2:23" x14ac:dyDescent="0.15">
      <c r="D117" s="439" t="s">
        <v>72</v>
      </c>
      <c r="E117" s="440"/>
      <c r="F117" s="54">
        <f>G117+H117+I117</f>
        <v>9</v>
      </c>
      <c r="G117" s="55">
        <v>4</v>
      </c>
      <c r="H117" s="55">
        <v>0</v>
      </c>
      <c r="I117" s="56">
        <v>5</v>
      </c>
      <c r="J117" s="54">
        <f>K117+L117+M117</f>
        <v>4</v>
      </c>
      <c r="K117" s="55">
        <v>1</v>
      </c>
      <c r="L117" s="55">
        <v>0</v>
      </c>
      <c r="M117" s="55">
        <v>3</v>
      </c>
      <c r="N117" s="55">
        <f>O117+P117+Q117</f>
        <v>6</v>
      </c>
      <c r="O117" s="55">
        <v>2</v>
      </c>
      <c r="P117" s="55">
        <v>0</v>
      </c>
      <c r="Q117" s="55">
        <v>4</v>
      </c>
      <c r="T117" s="95"/>
      <c r="U117" s="96"/>
      <c r="V117" s="95"/>
      <c r="W117" s="2"/>
    </row>
    <row r="118" spans="2:23" x14ac:dyDescent="0.15">
      <c r="D118" s="441"/>
      <c r="E118" s="442"/>
      <c r="F118" s="58">
        <f t="shared" ref="F118:Q118" si="32">ROUND(F117/(F$105+F$109+F$107+F$119+F$111+F$113+F$115+F$117+F$121),3)</f>
        <v>1.4999999999999999E-2</v>
      </c>
      <c r="G118" s="59">
        <f t="shared" si="32"/>
        <v>6.0999999999999999E-2</v>
      </c>
      <c r="H118" s="59">
        <f t="shared" si="32"/>
        <v>0</v>
      </c>
      <c r="I118" s="60">
        <f t="shared" si="32"/>
        <v>1.2E-2</v>
      </c>
      <c r="J118" s="58">
        <f t="shared" si="32"/>
        <v>6.0000000000000001E-3</v>
      </c>
      <c r="K118" s="59">
        <f t="shared" si="32"/>
        <v>1.6E-2</v>
      </c>
      <c r="L118" s="59">
        <f t="shared" si="32"/>
        <v>0</v>
      </c>
      <c r="M118" s="59">
        <f t="shared" si="32"/>
        <v>7.0000000000000001E-3</v>
      </c>
      <c r="N118" s="59">
        <f t="shared" si="32"/>
        <v>8.0000000000000002E-3</v>
      </c>
      <c r="O118" s="59">
        <f t="shared" si="32"/>
        <v>2.7E-2</v>
      </c>
      <c r="P118" s="59">
        <f t="shared" si="32"/>
        <v>0</v>
      </c>
      <c r="Q118" s="59">
        <f t="shared" si="32"/>
        <v>0.01</v>
      </c>
      <c r="R118" s="51"/>
      <c r="S118" s="51"/>
      <c r="T118" s="95"/>
      <c r="U118" s="96"/>
      <c r="V118" s="95"/>
      <c r="W118" s="2"/>
    </row>
    <row r="119" spans="2:23" x14ac:dyDescent="0.15">
      <c r="D119" s="515" t="s">
        <v>73</v>
      </c>
      <c r="E119" s="516"/>
      <c r="F119" s="54">
        <f>G119+H119+I119</f>
        <v>24</v>
      </c>
      <c r="G119" s="55">
        <v>7</v>
      </c>
      <c r="H119" s="55">
        <v>1</v>
      </c>
      <c r="I119" s="56">
        <v>16</v>
      </c>
      <c r="J119" s="54">
        <f>K119+L119+M119</f>
        <v>22</v>
      </c>
      <c r="K119" s="55">
        <v>7</v>
      </c>
      <c r="L119" s="55">
        <v>1</v>
      </c>
      <c r="M119" s="55">
        <v>14</v>
      </c>
      <c r="N119" s="55">
        <f>O119+P119+Q119</f>
        <v>23</v>
      </c>
      <c r="O119" s="55">
        <v>8</v>
      </c>
      <c r="P119" s="55">
        <v>4</v>
      </c>
      <c r="Q119" s="55">
        <v>11</v>
      </c>
      <c r="T119" s="95"/>
      <c r="U119" s="96"/>
      <c r="V119" s="95"/>
      <c r="W119" s="2"/>
    </row>
    <row r="120" spans="2:23" x14ac:dyDescent="0.15">
      <c r="D120" s="517"/>
      <c r="E120" s="518"/>
      <c r="F120" s="58">
        <f>ROUND(F119/(F$105+F$109+F$107+F$119+F$111+F$113+F$115+F$117+F$121),3)</f>
        <v>3.9E-2</v>
      </c>
      <c r="G120" s="59">
        <f>ROUND(G119/(G$105+G$109+G$107+G$119+G$111+G$113+G$115+G$117+G$121),3)</f>
        <v>0.106</v>
      </c>
      <c r="H120" s="59">
        <f>ROUND(H119/(H$105+H$109+H$107+H$119+H$111+H$113+H$115+H$117+H$121),3)+0.001</f>
        <v>9.0000000000000011E-3</v>
      </c>
      <c r="I120" s="60">
        <f>ROUND(I119/(I$105+I$109+I$107+I$119+I$111+I$113+I$115+I$117+I$121),3)-0.001</f>
        <v>3.5999999999999997E-2</v>
      </c>
      <c r="J120" s="58">
        <f>ROUND(J119/(J$105+J$109+J$107+J$119+J$111+J$113+J$115+J$117+J$121),3)</f>
        <v>3.3000000000000002E-2</v>
      </c>
      <c r="K120" s="59">
        <f>ROUND(K119/(K$105+K$109+K$107+K$119+K$111+K$113+K$115+K$117+K$121),3)</f>
        <v>0.115</v>
      </c>
      <c r="L120" s="59">
        <f>ROUND(L119/(L$105+L$109+L$107+L$119+L$111+L$113+L$115+L$117+L$121),3)+0.001</f>
        <v>6.0000000000000001E-3</v>
      </c>
      <c r="M120" s="59">
        <f>ROUND(M119/(M$105+M$109+M$107+M$119+M$111+M$113+M$115+M$117+M$121),3)-0.001</f>
        <v>3.2000000000000001E-2</v>
      </c>
      <c r="N120" s="59">
        <f>ROUND(N119/(N$105+N$109+N$107+N$119+N$111+N$113+N$115+N$117+N$121),3)</f>
        <v>3.3000000000000002E-2</v>
      </c>
      <c r="O120" s="59">
        <f>ROUND(O119/(O$105+O$109+O$107+O$119+O$111+O$113+O$115+O$117+O$121),3)</f>
        <v>0.107</v>
      </c>
      <c r="P120" s="59">
        <f>ROUND(P119/(P$105+P$109+P$107+P$119+P$111+P$113+P$115+P$117+P$121),3)+0.001</f>
        <v>1.9E-2</v>
      </c>
      <c r="Q120" s="59">
        <f>ROUND(Q119/(Q$105+Q$109+Q$107+Q$119+Q$111+Q$113+Q$115+Q$117+Q$121),3)-0.001</f>
        <v>2.5999999999999999E-2</v>
      </c>
      <c r="R120" s="51"/>
      <c r="S120" s="51"/>
      <c r="T120" s="95"/>
      <c r="U120" s="96"/>
      <c r="V120" s="95"/>
      <c r="W120" s="2"/>
    </row>
    <row r="121" spans="2:23" x14ac:dyDescent="0.15">
      <c r="D121" s="439" t="s">
        <v>74</v>
      </c>
      <c r="E121" s="440"/>
      <c r="F121" s="54">
        <f>G121+H121+I121</f>
        <v>1</v>
      </c>
      <c r="G121" s="55">
        <v>0</v>
      </c>
      <c r="H121" s="55">
        <v>0</v>
      </c>
      <c r="I121" s="56">
        <v>1</v>
      </c>
      <c r="J121" s="54">
        <f>K121+L121+M121</f>
        <v>2</v>
      </c>
      <c r="K121" s="55">
        <v>0</v>
      </c>
      <c r="L121" s="55">
        <v>0</v>
      </c>
      <c r="M121" s="55">
        <v>2</v>
      </c>
      <c r="N121" s="55">
        <f>O121+P121+Q121</f>
        <v>0</v>
      </c>
      <c r="O121" s="55">
        <v>0</v>
      </c>
      <c r="P121" s="55">
        <v>0</v>
      </c>
      <c r="Q121" s="55">
        <v>0</v>
      </c>
      <c r="T121" s="95"/>
      <c r="U121" s="96"/>
      <c r="V121" s="95"/>
      <c r="W121" s="2"/>
    </row>
    <row r="122" spans="2:23" x14ac:dyDescent="0.15">
      <c r="D122" s="441"/>
      <c r="E122" s="442"/>
      <c r="F122" s="58">
        <f t="shared" ref="F122:Q122" si="33">ROUND(F121/(F$105+F$109+F$107+F$119+F$111+F$113+F$115+F$117+F$121),3)</f>
        <v>2E-3</v>
      </c>
      <c r="G122" s="59">
        <f t="shared" si="33"/>
        <v>0</v>
      </c>
      <c r="H122" s="59">
        <f t="shared" si="33"/>
        <v>0</v>
      </c>
      <c r="I122" s="60">
        <f t="shared" si="33"/>
        <v>2E-3</v>
      </c>
      <c r="J122" s="58">
        <f t="shared" si="33"/>
        <v>3.0000000000000001E-3</v>
      </c>
      <c r="K122" s="59">
        <f t="shared" si="33"/>
        <v>0</v>
      </c>
      <c r="L122" s="59">
        <f t="shared" si="33"/>
        <v>0</v>
      </c>
      <c r="M122" s="59">
        <f t="shared" si="33"/>
        <v>5.0000000000000001E-3</v>
      </c>
      <c r="N122" s="59">
        <f t="shared" si="33"/>
        <v>0</v>
      </c>
      <c r="O122" s="59">
        <f t="shared" si="33"/>
        <v>0</v>
      </c>
      <c r="P122" s="59">
        <f t="shared" si="33"/>
        <v>0</v>
      </c>
      <c r="Q122" s="59">
        <f t="shared" si="33"/>
        <v>0</v>
      </c>
      <c r="R122" s="51"/>
      <c r="S122" s="51"/>
      <c r="T122" s="95"/>
      <c r="U122" s="96"/>
      <c r="V122" s="95"/>
      <c r="W122" s="2"/>
    </row>
    <row r="123" spans="2:23" x14ac:dyDescent="0.15">
      <c r="D123" s="449" t="s">
        <v>53</v>
      </c>
      <c r="E123" s="426"/>
      <c r="F123" s="54">
        <f t="shared" ref="F123:Q123" si="34">F105+F109+F107+F119+F111+F113+F115+F117+F121</f>
        <v>620</v>
      </c>
      <c r="G123" s="55">
        <f t="shared" si="34"/>
        <v>66</v>
      </c>
      <c r="H123" s="55">
        <f t="shared" si="34"/>
        <v>126</v>
      </c>
      <c r="I123" s="56">
        <f t="shared" si="34"/>
        <v>428</v>
      </c>
      <c r="J123" s="54">
        <f t="shared" si="34"/>
        <v>665</v>
      </c>
      <c r="K123" s="55">
        <f t="shared" si="34"/>
        <v>61</v>
      </c>
      <c r="L123" s="55">
        <f t="shared" si="34"/>
        <v>183</v>
      </c>
      <c r="M123" s="55">
        <f t="shared" si="34"/>
        <v>421</v>
      </c>
      <c r="N123" s="88">
        <f t="shared" si="34"/>
        <v>707</v>
      </c>
      <c r="O123" s="80">
        <f t="shared" si="34"/>
        <v>75</v>
      </c>
      <c r="P123" s="87">
        <f t="shared" si="34"/>
        <v>217</v>
      </c>
      <c r="Q123" s="80">
        <f t="shared" si="34"/>
        <v>415</v>
      </c>
      <c r="T123" s="95"/>
      <c r="U123" s="96"/>
      <c r="V123" s="95"/>
      <c r="W123" s="2"/>
    </row>
    <row r="124" spans="2:23" ht="14.25" thickBot="1" x14ac:dyDescent="0.2">
      <c r="D124" s="449"/>
      <c r="E124" s="426"/>
      <c r="F124" s="65">
        <f t="shared" ref="F124:Q124" si="35">F106+F110+F108+F120+F112+F114+F116+F118+F122</f>
        <v>1.0020000000000002</v>
      </c>
      <c r="G124" s="66">
        <f t="shared" si="35"/>
        <v>1</v>
      </c>
      <c r="H124" s="66">
        <f t="shared" si="35"/>
        <v>1.0030000000000001</v>
      </c>
      <c r="I124" s="67">
        <f t="shared" si="35"/>
        <v>0.99900000000000022</v>
      </c>
      <c r="J124" s="68">
        <f t="shared" si="35"/>
        <v>1.0010000000000001</v>
      </c>
      <c r="K124" s="69">
        <f t="shared" si="35"/>
        <v>1</v>
      </c>
      <c r="L124" s="69">
        <f t="shared" si="35"/>
        <v>1.002</v>
      </c>
      <c r="M124" s="69">
        <f t="shared" si="35"/>
        <v>0.99800000000000022</v>
      </c>
      <c r="N124" s="89">
        <f t="shared" si="35"/>
        <v>1.0000000000000002</v>
      </c>
      <c r="O124" s="69">
        <f t="shared" si="35"/>
        <v>1</v>
      </c>
      <c r="P124" s="71">
        <f t="shared" si="35"/>
        <v>1.0000000000000002</v>
      </c>
      <c r="Q124" s="69">
        <f t="shared" si="35"/>
        <v>1.0000000000000002</v>
      </c>
      <c r="R124" s="72"/>
      <c r="S124" s="72"/>
      <c r="T124" s="95"/>
      <c r="U124" s="96"/>
      <c r="V124" s="95"/>
      <c r="W124" s="2"/>
    </row>
    <row r="125" spans="2:23" x14ac:dyDescent="0.15">
      <c r="F125" s="72"/>
      <c r="G125" s="72"/>
      <c r="H125" s="72"/>
      <c r="I125" s="72"/>
      <c r="J125" s="72"/>
      <c r="K125" s="90"/>
      <c r="L125" s="72"/>
      <c r="N125" s="72"/>
      <c r="O125" s="90"/>
      <c r="P125" s="72"/>
    </row>
    <row r="126" spans="2:23" x14ac:dyDescent="0.15">
      <c r="F126" s="72"/>
      <c r="G126" s="72"/>
      <c r="H126" s="72"/>
      <c r="I126" s="72"/>
      <c r="J126" s="72"/>
      <c r="K126" s="90"/>
      <c r="L126" s="72"/>
      <c r="N126" s="72"/>
      <c r="O126" s="90"/>
      <c r="P126" s="72"/>
    </row>
    <row r="127" spans="2:23" ht="14.25" thickBot="1" x14ac:dyDescent="0.2">
      <c r="B127" s="10" t="s">
        <v>75</v>
      </c>
      <c r="F127" s="11"/>
      <c r="K127" s="52"/>
      <c r="O127" s="52"/>
    </row>
    <row r="128" spans="2:23" x14ac:dyDescent="0.15">
      <c r="D128" s="91"/>
      <c r="E128" s="92"/>
      <c r="F128" s="444" t="s">
        <v>26</v>
      </c>
      <c r="G128" s="455"/>
      <c r="H128" s="455"/>
      <c r="I128" s="456"/>
      <c r="J128" s="503" t="s">
        <v>27</v>
      </c>
      <c r="K128" s="449"/>
      <c r="L128" s="449"/>
      <c r="M128" s="449"/>
      <c r="N128" s="399" t="s">
        <v>28</v>
      </c>
      <c r="O128" s="386"/>
      <c r="P128" s="386"/>
      <c r="Q128" s="387"/>
      <c r="R128" s="12"/>
      <c r="S128" s="12"/>
      <c r="T128" s="2"/>
      <c r="U128" s="13"/>
      <c r="V128" s="2"/>
      <c r="W128" s="2"/>
    </row>
    <row r="129" spans="4:23" x14ac:dyDescent="0.15">
      <c r="D129" s="93"/>
      <c r="E129" s="94"/>
      <c r="F129" s="371"/>
      <c r="G129" s="364" t="s">
        <v>29</v>
      </c>
      <c r="H129" s="364" t="s">
        <v>30</v>
      </c>
      <c r="I129" s="374" t="s">
        <v>31</v>
      </c>
      <c r="J129" s="14"/>
      <c r="K129" s="15" t="s">
        <v>29</v>
      </c>
      <c r="L129" s="15" t="s">
        <v>30</v>
      </c>
      <c r="M129" s="375" t="s">
        <v>31</v>
      </c>
      <c r="N129" s="372"/>
      <c r="O129" s="364" t="s">
        <v>29</v>
      </c>
      <c r="P129" s="364" t="s">
        <v>30</v>
      </c>
      <c r="Q129" s="375" t="s">
        <v>31</v>
      </c>
      <c r="R129" s="20"/>
      <c r="S129" s="20"/>
      <c r="T129" s="2"/>
      <c r="U129" s="13"/>
      <c r="V129" s="2"/>
      <c r="W129" s="2"/>
    </row>
    <row r="130" spans="4:23" x14ac:dyDescent="0.15">
      <c r="D130" s="439" t="s">
        <v>76</v>
      </c>
      <c r="E130" s="440"/>
      <c r="F130" s="28">
        <f>G130+H130+I130</f>
        <v>468</v>
      </c>
      <c r="G130" s="55">
        <v>26</v>
      </c>
      <c r="H130" s="55">
        <v>111</v>
      </c>
      <c r="I130" s="56">
        <v>331</v>
      </c>
      <c r="J130" s="28">
        <f>K130+L130+M130</f>
        <v>503</v>
      </c>
      <c r="K130" s="55">
        <v>26</v>
      </c>
      <c r="L130" s="55">
        <v>150</v>
      </c>
      <c r="M130" s="55">
        <v>327</v>
      </c>
      <c r="N130" s="29">
        <f>O130+P130+Q130</f>
        <v>546</v>
      </c>
      <c r="O130" s="55">
        <v>43</v>
      </c>
      <c r="P130" s="55">
        <v>167</v>
      </c>
      <c r="Q130" s="55">
        <v>336</v>
      </c>
      <c r="T130" s="2"/>
      <c r="U130" s="13"/>
      <c r="V130" s="2"/>
      <c r="W130" s="2"/>
    </row>
    <row r="131" spans="4:23" x14ac:dyDescent="0.15">
      <c r="D131" s="441"/>
      <c r="E131" s="442"/>
      <c r="F131" s="58">
        <f t="shared" ref="F131:Q131" si="36">ROUND(F130/(F$130+F$134+F$132+F$144+F$136+F$138+F$140+F$142+F$146+F$146),3)</f>
        <v>0.76100000000000001</v>
      </c>
      <c r="G131" s="59">
        <f t="shared" si="36"/>
        <v>0.40600000000000003</v>
      </c>
      <c r="H131" s="59">
        <f t="shared" si="36"/>
        <v>0.89500000000000002</v>
      </c>
      <c r="I131" s="60">
        <f t="shared" si="36"/>
        <v>0.77500000000000002</v>
      </c>
      <c r="J131" s="58">
        <f t="shared" si="36"/>
        <v>0.75900000000000001</v>
      </c>
      <c r="K131" s="59">
        <f t="shared" si="36"/>
        <v>0.433</v>
      </c>
      <c r="L131" s="59">
        <f t="shared" si="36"/>
        <v>0.82</v>
      </c>
      <c r="M131" s="59">
        <f t="shared" si="36"/>
        <v>0.77900000000000003</v>
      </c>
      <c r="N131" s="59">
        <f t="shared" si="36"/>
        <v>0.78</v>
      </c>
      <c r="O131" s="59">
        <f t="shared" si="36"/>
        <v>0.56599999999999995</v>
      </c>
      <c r="P131" s="59">
        <f t="shared" si="36"/>
        <v>0.79100000000000004</v>
      </c>
      <c r="Q131" s="59">
        <f t="shared" si="36"/>
        <v>0.81399999999999995</v>
      </c>
      <c r="R131" s="51"/>
      <c r="S131" s="51"/>
      <c r="T131" s="2"/>
      <c r="U131" s="13"/>
      <c r="V131" s="2"/>
      <c r="W131" s="2"/>
    </row>
    <row r="132" spans="4:23" x14ac:dyDescent="0.15">
      <c r="D132" s="439" t="s">
        <v>67</v>
      </c>
      <c r="E132" s="440"/>
      <c r="F132" s="28">
        <f>G132+H132+I132</f>
        <v>22</v>
      </c>
      <c r="G132" s="55">
        <v>2</v>
      </c>
      <c r="H132" s="55">
        <v>3</v>
      </c>
      <c r="I132" s="56">
        <v>17</v>
      </c>
      <c r="J132" s="28">
        <f>K132+L132+M132</f>
        <v>45</v>
      </c>
      <c r="K132" s="55">
        <v>6</v>
      </c>
      <c r="L132" s="55">
        <v>8</v>
      </c>
      <c r="M132" s="55">
        <v>31</v>
      </c>
      <c r="N132" s="29">
        <f>O132+P132+Q132</f>
        <v>42</v>
      </c>
      <c r="O132" s="55">
        <v>2</v>
      </c>
      <c r="P132" s="55">
        <v>13</v>
      </c>
      <c r="Q132" s="55">
        <v>27</v>
      </c>
      <c r="T132" s="2"/>
      <c r="U132" s="13"/>
      <c r="V132" s="2"/>
      <c r="W132" s="2"/>
    </row>
    <row r="133" spans="4:23" x14ac:dyDescent="0.15">
      <c r="D133" s="441"/>
      <c r="E133" s="442"/>
      <c r="F133" s="58">
        <f t="shared" ref="F133:Q133" si="37">ROUND(F132/(F$130+F$134+F$132+F$144+F$136+F$138+F$140+F$142+F$146+F$146),3)</f>
        <v>3.5999999999999997E-2</v>
      </c>
      <c r="G133" s="59">
        <f t="shared" si="37"/>
        <v>3.1E-2</v>
      </c>
      <c r="H133" s="59">
        <f t="shared" si="37"/>
        <v>2.4E-2</v>
      </c>
      <c r="I133" s="60">
        <f t="shared" si="37"/>
        <v>0.04</v>
      </c>
      <c r="J133" s="58">
        <f t="shared" si="37"/>
        <v>6.8000000000000005E-2</v>
      </c>
      <c r="K133" s="59">
        <f t="shared" si="37"/>
        <v>0.1</v>
      </c>
      <c r="L133" s="59">
        <f t="shared" si="37"/>
        <v>4.3999999999999997E-2</v>
      </c>
      <c r="M133" s="59">
        <f t="shared" si="37"/>
        <v>7.3999999999999996E-2</v>
      </c>
      <c r="N133" s="59">
        <f t="shared" si="37"/>
        <v>0.06</v>
      </c>
      <c r="O133" s="59">
        <f t="shared" si="37"/>
        <v>2.5999999999999999E-2</v>
      </c>
      <c r="P133" s="59">
        <f t="shared" si="37"/>
        <v>6.2E-2</v>
      </c>
      <c r="Q133" s="59">
        <f t="shared" si="37"/>
        <v>6.5000000000000002E-2</v>
      </c>
      <c r="R133" s="51"/>
      <c r="S133" s="51"/>
      <c r="T133" s="2"/>
      <c r="U133" s="13"/>
      <c r="V133" s="2"/>
      <c r="W133" s="2"/>
    </row>
    <row r="134" spans="4:23" x14ac:dyDescent="0.15">
      <c r="D134" s="439" t="s">
        <v>68</v>
      </c>
      <c r="E134" s="440"/>
      <c r="F134" s="28">
        <f>G134+H134+I134</f>
        <v>49</v>
      </c>
      <c r="G134" s="55">
        <v>15</v>
      </c>
      <c r="H134" s="55">
        <v>5</v>
      </c>
      <c r="I134" s="56">
        <v>29</v>
      </c>
      <c r="J134" s="28">
        <f>K134+L134+M134</f>
        <v>43</v>
      </c>
      <c r="K134" s="55">
        <v>10</v>
      </c>
      <c r="L134" s="55">
        <v>11</v>
      </c>
      <c r="M134" s="55">
        <v>22</v>
      </c>
      <c r="N134" s="29">
        <f>O134+P134+Q134</f>
        <v>38</v>
      </c>
      <c r="O134" s="55">
        <v>9</v>
      </c>
      <c r="P134" s="55">
        <v>13</v>
      </c>
      <c r="Q134" s="55">
        <v>16</v>
      </c>
      <c r="T134" s="2"/>
      <c r="U134" s="13"/>
      <c r="V134" s="2"/>
      <c r="W134" s="2"/>
    </row>
    <row r="135" spans="4:23" x14ac:dyDescent="0.15">
      <c r="D135" s="441"/>
      <c r="E135" s="442"/>
      <c r="F135" s="58">
        <f t="shared" ref="F135:Q135" si="38">ROUND(F134/(F$130+F$134+F$132+F$144+F$136+F$138+F$140+F$142+F$146+F$146),3)</f>
        <v>0.08</v>
      </c>
      <c r="G135" s="59">
        <f t="shared" si="38"/>
        <v>0.23400000000000001</v>
      </c>
      <c r="H135" s="59">
        <f t="shared" si="38"/>
        <v>0.04</v>
      </c>
      <c r="I135" s="60">
        <f t="shared" si="38"/>
        <v>6.8000000000000005E-2</v>
      </c>
      <c r="J135" s="58">
        <f t="shared" si="38"/>
        <v>6.5000000000000002E-2</v>
      </c>
      <c r="K135" s="59">
        <f t="shared" si="38"/>
        <v>0.16700000000000001</v>
      </c>
      <c r="L135" s="59">
        <f t="shared" si="38"/>
        <v>0.06</v>
      </c>
      <c r="M135" s="59">
        <f t="shared" si="38"/>
        <v>5.1999999999999998E-2</v>
      </c>
      <c r="N135" s="59">
        <f t="shared" si="38"/>
        <v>5.3999999999999999E-2</v>
      </c>
      <c r="O135" s="59">
        <f t="shared" si="38"/>
        <v>0.11799999999999999</v>
      </c>
      <c r="P135" s="59">
        <f t="shared" si="38"/>
        <v>6.2E-2</v>
      </c>
      <c r="Q135" s="59">
        <f t="shared" si="38"/>
        <v>3.9E-2</v>
      </c>
      <c r="R135" s="51"/>
      <c r="S135" s="51"/>
      <c r="T135" s="2"/>
      <c r="U135" s="13"/>
      <c r="V135" s="2"/>
      <c r="W135" s="2"/>
    </row>
    <row r="136" spans="4:23" x14ac:dyDescent="0.15">
      <c r="D136" s="439" t="s">
        <v>69</v>
      </c>
      <c r="E136" s="440"/>
      <c r="F136" s="28">
        <f>G136+H136+I136</f>
        <v>26</v>
      </c>
      <c r="G136" s="55">
        <v>7</v>
      </c>
      <c r="H136" s="55">
        <v>3</v>
      </c>
      <c r="I136" s="56">
        <v>16</v>
      </c>
      <c r="J136" s="28">
        <f>K136+L136+M136</f>
        <v>21</v>
      </c>
      <c r="K136" s="55">
        <v>3</v>
      </c>
      <c r="L136" s="55">
        <v>6</v>
      </c>
      <c r="M136" s="55">
        <v>12</v>
      </c>
      <c r="N136" s="29">
        <f>O136+P136+Q136</f>
        <v>26</v>
      </c>
      <c r="O136" s="55">
        <v>6</v>
      </c>
      <c r="P136" s="55">
        <v>8</v>
      </c>
      <c r="Q136" s="55">
        <v>12</v>
      </c>
      <c r="T136" s="2"/>
      <c r="U136" s="13"/>
      <c r="V136" s="2"/>
      <c r="W136" s="2"/>
    </row>
    <row r="137" spans="4:23" x14ac:dyDescent="0.15">
      <c r="D137" s="441"/>
      <c r="E137" s="442"/>
      <c r="F137" s="58">
        <f t="shared" ref="F137:Q137" si="39">ROUND(F136/(F$130+F$134+F$132+F$144+F$136+F$138+F$140+F$142+F$146+F$146),3)</f>
        <v>4.2000000000000003E-2</v>
      </c>
      <c r="G137" s="59">
        <f t="shared" si="39"/>
        <v>0.109</v>
      </c>
      <c r="H137" s="59">
        <f t="shared" si="39"/>
        <v>2.4E-2</v>
      </c>
      <c r="I137" s="60">
        <f t="shared" si="39"/>
        <v>3.6999999999999998E-2</v>
      </c>
      <c r="J137" s="58">
        <f t="shared" si="39"/>
        <v>3.2000000000000001E-2</v>
      </c>
      <c r="K137" s="59">
        <f t="shared" si="39"/>
        <v>0.05</v>
      </c>
      <c r="L137" s="59">
        <f t="shared" si="39"/>
        <v>3.3000000000000002E-2</v>
      </c>
      <c r="M137" s="59">
        <f t="shared" si="39"/>
        <v>2.9000000000000001E-2</v>
      </c>
      <c r="N137" s="59">
        <f t="shared" si="39"/>
        <v>3.6999999999999998E-2</v>
      </c>
      <c r="O137" s="59">
        <f t="shared" si="39"/>
        <v>7.9000000000000001E-2</v>
      </c>
      <c r="P137" s="59">
        <f t="shared" si="39"/>
        <v>3.7999999999999999E-2</v>
      </c>
      <c r="Q137" s="59">
        <f t="shared" si="39"/>
        <v>2.9000000000000001E-2</v>
      </c>
      <c r="R137" s="51"/>
      <c r="S137" s="51"/>
      <c r="T137" s="2"/>
      <c r="U137" s="13"/>
      <c r="V137" s="2"/>
      <c r="W137" s="2"/>
    </row>
    <row r="138" spans="4:23" x14ac:dyDescent="0.15">
      <c r="D138" s="439" t="s">
        <v>70</v>
      </c>
      <c r="E138" s="440"/>
      <c r="F138" s="28">
        <f>G138+H138+I138</f>
        <v>14</v>
      </c>
      <c r="G138" s="55">
        <v>5</v>
      </c>
      <c r="H138" s="55">
        <v>0</v>
      </c>
      <c r="I138" s="56">
        <v>9</v>
      </c>
      <c r="J138" s="28">
        <f>K138+L138+M138</f>
        <v>10</v>
      </c>
      <c r="K138" s="55">
        <v>2</v>
      </c>
      <c r="L138" s="55">
        <v>2</v>
      </c>
      <c r="M138" s="55">
        <v>6</v>
      </c>
      <c r="N138" s="29">
        <f>O138+P138+Q138</f>
        <v>16</v>
      </c>
      <c r="O138" s="55">
        <v>6</v>
      </c>
      <c r="P138" s="55">
        <v>3</v>
      </c>
      <c r="Q138" s="55">
        <v>7</v>
      </c>
      <c r="T138" s="2"/>
      <c r="U138" s="13"/>
      <c r="V138" s="2"/>
      <c r="W138" s="2"/>
    </row>
    <row r="139" spans="4:23" x14ac:dyDescent="0.15">
      <c r="D139" s="441"/>
      <c r="E139" s="442"/>
      <c r="F139" s="58">
        <f t="shared" ref="F139:Q139" si="40">ROUND(F138/(F$130+F$134+F$132+F$144+F$136+F$138+F$140+F$142+F$146+F$146),3)</f>
        <v>2.3E-2</v>
      </c>
      <c r="G139" s="59">
        <f t="shared" si="40"/>
        <v>7.8E-2</v>
      </c>
      <c r="H139" s="59">
        <f t="shared" si="40"/>
        <v>0</v>
      </c>
      <c r="I139" s="60">
        <f t="shared" si="40"/>
        <v>2.1000000000000001E-2</v>
      </c>
      <c r="J139" s="58">
        <f t="shared" si="40"/>
        <v>1.4999999999999999E-2</v>
      </c>
      <c r="K139" s="59">
        <f t="shared" si="40"/>
        <v>3.3000000000000002E-2</v>
      </c>
      <c r="L139" s="59">
        <f t="shared" si="40"/>
        <v>1.0999999999999999E-2</v>
      </c>
      <c r="M139" s="59">
        <f t="shared" si="40"/>
        <v>1.4E-2</v>
      </c>
      <c r="N139" s="59">
        <f t="shared" si="40"/>
        <v>2.3E-2</v>
      </c>
      <c r="O139" s="59">
        <f t="shared" si="40"/>
        <v>7.9000000000000001E-2</v>
      </c>
      <c r="P139" s="59">
        <f t="shared" si="40"/>
        <v>1.4E-2</v>
      </c>
      <c r="Q139" s="59">
        <f t="shared" si="40"/>
        <v>1.7000000000000001E-2</v>
      </c>
      <c r="R139" s="51"/>
      <c r="S139" s="51"/>
      <c r="T139" s="2"/>
      <c r="U139" s="13"/>
      <c r="V139" s="2"/>
      <c r="W139" s="2"/>
    </row>
    <row r="140" spans="4:23" x14ac:dyDescent="0.15">
      <c r="D140" s="439" t="s">
        <v>71</v>
      </c>
      <c r="E140" s="440"/>
      <c r="F140" s="28">
        <f>G140+H140+I140</f>
        <v>10</v>
      </c>
      <c r="G140" s="55">
        <v>2</v>
      </c>
      <c r="H140" s="55">
        <v>0</v>
      </c>
      <c r="I140" s="56">
        <v>8</v>
      </c>
      <c r="J140" s="28">
        <f>K140+L140+M140</f>
        <v>10</v>
      </c>
      <c r="K140" s="55">
        <v>4</v>
      </c>
      <c r="L140" s="55">
        <v>1</v>
      </c>
      <c r="M140" s="55">
        <v>5</v>
      </c>
      <c r="N140" s="29">
        <f>O140+P140+Q140</f>
        <v>9</v>
      </c>
      <c r="O140" s="55">
        <v>3</v>
      </c>
      <c r="P140" s="55">
        <v>3</v>
      </c>
      <c r="Q140" s="55">
        <v>3</v>
      </c>
      <c r="T140" s="2"/>
      <c r="U140" s="13"/>
      <c r="V140" s="2"/>
      <c r="W140" s="2"/>
    </row>
    <row r="141" spans="4:23" x14ac:dyDescent="0.15">
      <c r="D141" s="441"/>
      <c r="E141" s="442"/>
      <c r="F141" s="58">
        <f t="shared" ref="F141:N141" si="41">ROUND(F140/(F$130+F$134+F$132+F$144+F$136+F$138+F$140+F$142+F$146+F$146),3)</f>
        <v>1.6E-2</v>
      </c>
      <c r="G141" s="59">
        <f t="shared" si="41"/>
        <v>3.1E-2</v>
      </c>
      <c r="H141" s="59">
        <f t="shared" si="41"/>
        <v>0</v>
      </c>
      <c r="I141" s="60">
        <f t="shared" si="41"/>
        <v>1.9E-2</v>
      </c>
      <c r="J141" s="58">
        <f t="shared" si="41"/>
        <v>1.4999999999999999E-2</v>
      </c>
      <c r="K141" s="59">
        <f t="shared" si="41"/>
        <v>6.7000000000000004E-2</v>
      </c>
      <c r="L141" s="59">
        <f t="shared" si="41"/>
        <v>5.0000000000000001E-3</v>
      </c>
      <c r="M141" s="59">
        <f t="shared" si="41"/>
        <v>1.2E-2</v>
      </c>
      <c r="N141" s="59">
        <f t="shared" si="41"/>
        <v>1.2999999999999999E-2</v>
      </c>
      <c r="O141" s="59">
        <f>ROUND(O140/(O$130+O$134+O$132+O$144+O$136+O$138+O$140+O$142+O$146+O$146),3)+0.001</f>
        <v>0.04</v>
      </c>
      <c r="P141" s="59">
        <f>ROUND(P140/(P$130+P$134+P$132+P$144+P$136+P$138+P$140+P$142+P$146+P$146),3)</f>
        <v>1.4E-2</v>
      </c>
      <c r="Q141" s="59">
        <f>ROUND(Q140/(Q$130+Q$134+Q$132+Q$144+Q$136+Q$138+Q$140+Q$142+Q$146+Q$146),3)</f>
        <v>7.0000000000000001E-3</v>
      </c>
      <c r="R141" s="51"/>
      <c r="S141" s="51"/>
      <c r="T141" s="2"/>
      <c r="U141" s="13"/>
      <c r="V141" s="2"/>
      <c r="W141" s="2"/>
    </row>
    <row r="142" spans="4:23" x14ac:dyDescent="0.15">
      <c r="D142" s="439" t="s">
        <v>72</v>
      </c>
      <c r="E142" s="440"/>
      <c r="F142" s="28">
        <f>G142+H142+I142</f>
        <v>11</v>
      </c>
      <c r="G142" s="55">
        <v>3</v>
      </c>
      <c r="H142" s="55">
        <v>1</v>
      </c>
      <c r="I142" s="56">
        <v>7</v>
      </c>
      <c r="J142" s="28">
        <f>K142+L142+M142</f>
        <v>7</v>
      </c>
      <c r="K142" s="55">
        <v>2</v>
      </c>
      <c r="L142" s="55">
        <v>1</v>
      </c>
      <c r="M142" s="55">
        <v>4</v>
      </c>
      <c r="N142" s="29">
        <f>O142+P142+Q142</f>
        <v>7</v>
      </c>
      <c r="O142" s="55">
        <v>2</v>
      </c>
      <c r="P142" s="55">
        <v>1</v>
      </c>
      <c r="Q142" s="55">
        <v>4</v>
      </c>
      <c r="T142" s="2"/>
      <c r="U142" s="13"/>
      <c r="V142" s="2"/>
      <c r="W142" s="2"/>
    </row>
    <row r="143" spans="4:23" x14ac:dyDescent="0.15">
      <c r="D143" s="441"/>
      <c r="E143" s="442"/>
      <c r="F143" s="58">
        <f t="shared" ref="F143:Q143" si="42">ROUND(F142/(F$130+F$134+F$132+F$144+F$136+F$138+F$140+F$142+F$146+F$146),3)</f>
        <v>1.7999999999999999E-2</v>
      </c>
      <c r="G143" s="59">
        <f t="shared" si="42"/>
        <v>4.7E-2</v>
      </c>
      <c r="H143" s="59">
        <f t="shared" si="42"/>
        <v>8.0000000000000002E-3</v>
      </c>
      <c r="I143" s="60">
        <f t="shared" si="42"/>
        <v>1.6E-2</v>
      </c>
      <c r="J143" s="58">
        <f t="shared" si="42"/>
        <v>1.0999999999999999E-2</v>
      </c>
      <c r="K143" s="59">
        <f t="shared" si="42"/>
        <v>3.3000000000000002E-2</v>
      </c>
      <c r="L143" s="59">
        <f t="shared" si="42"/>
        <v>5.0000000000000001E-3</v>
      </c>
      <c r="M143" s="59">
        <f t="shared" si="42"/>
        <v>0.01</v>
      </c>
      <c r="N143" s="59">
        <f t="shared" si="42"/>
        <v>0.01</v>
      </c>
      <c r="O143" s="59">
        <f t="shared" si="42"/>
        <v>2.5999999999999999E-2</v>
      </c>
      <c r="P143" s="59">
        <f t="shared" si="42"/>
        <v>5.0000000000000001E-3</v>
      </c>
      <c r="Q143" s="59">
        <f t="shared" si="42"/>
        <v>0.01</v>
      </c>
      <c r="R143" s="51"/>
      <c r="S143" s="51"/>
      <c r="T143" s="2"/>
      <c r="U143" s="13"/>
      <c r="V143" s="2"/>
      <c r="W143" s="2"/>
    </row>
    <row r="144" spans="4:23" x14ac:dyDescent="0.15">
      <c r="D144" s="515" t="s">
        <v>73</v>
      </c>
      <c r="E144" s="516"/>
      <c r="F144" s="28">
        <f>G144+H144+I144</f>
        <v>15</v>
      </c>
      <c r="G144" s="55">
        <v>4</v>
      </c>
      <c r="H144" s="55">
        <v>1</v>
      </c>
      <c r="I144" s="56">
        <v>10</v>
      </c>
      <c r="J144" s="28">
        <f>K144+L144+M144</f>
        <v>20</v>
      </c>
      <c r="K144" s="55">
        <v>7</v>
      </c>
      <c r="L144" s="55">
        <v>2</v>
      </c>
      <c r="M144" s="55">
        <v>11</v>
      </c>
      <c r="N144" s="29">
        <f>O144+P144+Q144</f>
        <v>16</v>
      </c>
      <c r="O144" s="55">
        <v>5</v>
      </c>
      <c r="P144" s="55">
        <v>3</v>
      </c>
      <c r="Q144" s="55">
        <v>8</v>
      </c>
      <c r="T144" s="2"/>
      <c r="U144" s="13"/>
      <c r="V144" s="2"/>
      <c r="W144" s="2"/>
    </row>
    <row r="145" spans="2:23" x14ac:dyDescent="0.15">
      <c r="D145" s="517"/>
      <c r="E145" s="518"/>
      <c r="F145" s="58">
        <f t="shared" ref="F145:Q145" si="43">ROUND(F144/(F$130+F$134+F$132+F$144+F$136+F$138+F$140+F$142+F$146+F$146),3)</f>
        <v>2.4E-2</v>
      </c>
      <c r="G145" s="59">
        <f t="shared" si="43"/>
        <v>6.3E-2</v>
      </c>
      <c r="H145" s="59">
        <f t="shared" si="43"/>
        <v>8.0000000000000002E-3</v>
      </c>
      <c r="I145" s="60">
        <f t="shared" si="43"/>
        <v>2.3E-2</v>
      </c>
      <c r="J145" s="58">
        <f t="shared" si="43"/>
        <v>0.03</v>
      </c>
      <c r="K145" s="59">
        <f t="shared" si="43"/>
        <v>0.11700000000000001</v>
      </c>
      <c r="L145" s="59">
        <f t="shared" si="43"/>
        <v>1.0999999999999999E-2</v>
      </c>
      <c r="M145" s="59">
        <f t="shared" si="43"/>
        <v>2.5999999999999999E-2</v>
      </c>
      <c r="N145" s="59">
        <f t="shared" si="43"/>
        <v>2.3E-2</v>
      </c>
      <c r="O145" s="59">
        <f t="shared" si="43"/>
        <v>6.6000000000000003E-2</v>
      </c>
      <c r="P145" s="59">
        <f t="shared" si="43"/>
        <v>1.4E-2</v>
      </c>
      <c r="Q145" s="59">
        <f t="shared" si="43"/>
        <v>1.9E-2</v>
      </c>
      <c r="R145" s="51"/>
      <c r="S145" s="51"/>
      <c r="T145" s="2"/>
      <c r="U145" s="13"/>
      <c r="V145" s="2"/>
      <c r="W145" s="2"/>
    </row>
    <row r="146" spans="2:23" x14ac:dyDescent="0.15">
      <c r="D146" s="439" t="s">
        <v>77</v>
      </c>
      <c r="E146" s="440"/>
      <c r="F146" s="28">
        <f>G146+H146+I146</f>
        <v>0</v>
      </c>
      <c r="G146" s="55">
        <v>0</v>
      </c>
      <c r="H146" s="55">
        <v>0</v>
      </c>
      <c r="I146" s="56">
        <v>0</v>
      </c>
      <c r="J146" s="28">
        <f>K146+L146+M146</f>
        <v>2</v>
      </c>
      <c r="K146" s="55">
        <v>0</v>
      </c>
      <c r="L146" s="55">
        <v>1</v>
      </c>
      <c r="M146" s="55">
        <v>1</v>
      </c>
      <c r="N146" s="29">
        <f>O146+P146+Q146</f>
        <v>0</v>
      </c>
      <c r="O146" s="55">
        <v>0</v>
      </c>
      <c r="P146" s="55">
        <v>0</v>
      </c>
      <c r="Q146" s="55">
        <v>0</v>
      </c>
      <c r="T146" s="2"/>
      <c r="U146" s="13"/>
      <c r="V146" s="2"/>
      <c r="W146" s="2"/>
    </row>
    <row r="147" spans="2:23" x14ac:dyDescent="0.15">
      <c r="D147" s="441"/>
      <c r="E147" s="442"/>
      <c r="F147" s="58">
        <f t="shared" ref="F147:Q147" si="44">ROUND(F146/(F$130+F$134+F$132+F$144+F$136+F$138+F$140+F$142+F$146+F$146),3)</f>
        <v>0</v>
      </c>
      <c r="G147" s="59">
        <f t="shared" si="44"/>
        <v>0</v>
      </c>
      <c r="H147" s="59">
        <f t="shared" si="44"/>
        <v>0</v>
      </c>
      <c r="I147" s="60">
        <f t="shared" si="44"/>
        <v>0</v>
      </c>
      <c r="J147" s="58">
        <f t="shared" si="44"/>
        <v>3.0000000000000001E-3</v>
      </c>
      <c r="K147" s="59">
        <f t="shared" si="44"/>
        <v>0</v>
      </c>
      <c r="L147" s="59">
        <f t="shared" si="44"/>
        <v>5.0000000000000001E-3</v>
      </c>
      <c r="M147" s="59">
        <f t="shared" si="44"/>
        <v>2E-3</v>
      </c>
      <c r="N147" s="59">
        <f t="shared" si="44"/>
        <v>0</v>
      </c>
      <c r="O147" s="59">
        <f t="shared" si="44"/>
        <v>0</v>
      </c>
      <c r="P147" s="59">
        <f t="shared" si="44"/>
        <v>0</v>
      </c>
      <c r="Q147" s="59">
        <f t="shared" si="44"/>
        <v>0</v>
      </c>
      <c r="R147" s="51"/>
      <c r="S147" s="51"/>
      <c r="T147" s="2"/>
      <c r="U147" s="13"/>
      <c r="V147" s="2"/>
      <c r="W147" s="2"/>
    </row>
    <row r="148" spans="2:23" x14ac:dyDescent="0.15">
      <c r="D148" s="449" t="s">
        <v>53</v>
      </c>
      <c r="E148" s="426"/>
      <c r="F148" s="97">
        <f t="shared" ref="F148:Q148" si="45">F130+F134+F132+F144+F136+F138+F140+F142+F146</f>
        <v>615</v>
      </c>
      <c r="G148" s="98">
        <f t="shared" si="45"/>
        <v>64</v>
      </c>
      <c r="H148" s="98">
        <f t="shared" si="45"/>
        <v>124</v>
      </c>
      <c r="I148" s="99">
        <f t="shared" si="45"/>
        <v>427</v>
      </c>
      <c r="J148" s="97">
        <f t="shared" si="45"/>
        <v>661</v>
      </c>
      <c r="K148" s="98">
        <f t="shared" si="45"/>
        <v>60</v>
      </c>
      <c r="L148" s="98">
        <f t="shared" si="45"/>
        <v>182</v>
      </c>
      <c r="M148" s="98">
        <f t="shared" si="45"/>
        <v>419</v>
      </c>
      <c r="N148" s="88">
        <f t="shared" si="45"/>
        <v>700</v>
      </c>
      <c r="O148" s="55">
        <f t="shared" si="45"/>
        <v>76</v>
      </c>
      <c r="P148" s="87">
        <f t="shared" si="45"/>
        <v>211</v>
      </c>
      <c r="Q148" s="80">
        <f t="shared" si="45"/>
        <v>413</v>
      </c>
      <c r="T148" s="2"/>
      <c r="U148" s="13"/>
      <c r="V148" s="2"/>
      <c r="W148" s="2"/>
    </row>
    <row r="149" spans="2:23" ht="14.25" thickBot="1" x14ac:dyDescent="0.2">
      <c r="D149" s="449"/>
      <c r="E149" s="426"/>
      <c r="F149" s="65">
        <f t="shared" ref="F149:Q149" si="46">F131+F135+F133+F145+F137+F139+F141+F143+F147</f>
        <v>1</v>
      </c>
      <c r="G149" s="66">
        <f t="shared" si="46"/>
        <v>0.999</v>
      </c>
      <c r="H149" s="66">
        <f t="shared" si="46"/>
        <v>0.99900000000000011</v>
      </c>
      <c r="I149" s="67">
        <f t="shared" si="46"/>
        <v>0.99900000000000011</v>
      </c>
      <c r="J149" s="68">
        <f t="shared" si="46"/>
        <v>0.99800000000000022</v>
      </c>
      <c r="K149" s="69">
        <f t="shared" si="46"/>
        <v>1</v>
      </c>
      <c r="L149" s="69">
        <f t="shared" si="46"/>
        <v>0.99399999999999999</v>
      </c>
      <c r="M149" s="69">
        <f t="shared" si="46"/>
        <v>0.99800000000000011</v>
      </c>
      <c r="N149" s="89">
        <f t="shared" si="46"/>
        <v>1.0000000000000002</v>
      </c>
      <c r="O149" s="69">
        <f t="shared" si="46"/>
        <v>1</v>
      </c>
      <c r="P149" s="71">
        <f t="shared" si="46"/>
        <v>1</v>
      </c>
      <c r="Q149" s="69">
        <f t="shared" si="46"/>
        <v>1</v>
      </c>
      <c r="R149" s="72"/>
      <c r="S149" s="72"/>
      <c r="T149" s="46"/>
      <c r="U149" s="47"/>
      <c r="V149" s="46"/>
      <c r="W149" s="2"/>
    </row>
    <row r="150" spans="2:23" x14ac:dyDescent="0.15">
      <c r="D150" s="100"/>
      <c r="E150" s="100"/>
      <c r="F150" s="78"/>
      <c r="G150" s="78"/>
      <c r="H150" s="78"/>
      <c r="I150" s="78"/>
      <c r="J150" s="78"/>
      <c r="K150" s="78"/>
      <c r="L150" s="78"/>
      <c r="M150" s="78"/>
      <c r="N150" s="78"/>
      <c r="O150" s="78"/>
      <c r="P150" s="78"/>
      <c r="Q150" s="78"/>
      <c r="R150" s="72"/>
      <c r="S150" s="72"/>
      <c r="T150" s="46"/>
      <c r="U150" s="47"/>
      <c r="V150" s="46"/>
      <c r="W150" s="2"/>
    </row>
    <row r="151" spans="2:23" ht="14.25" thickBot="1" x14ac:dyDescent="0.2">
      <c r="B151" s="10" t="s">
        <v>78</v>
      </c>
      <c r="G151" s="11"/>
      <c r="K151" s="52"/>
      <c r="O151" s="52"/>
    </row>
    <row r="152" spans="2:23" ht="18.75" customHeight="1" x14ac:dyDescent="0.15">
      <c r="D152" s="91"/>
      <c r="E152" s="92"/>
      <c r="F152" s="444" t="s">
        <v>26</v>
      </c>
      <c r="G152" s="384"/>
      <c r="H152" s="384"/>
      <c r="I152" s="385"/>
      <c r="J152" s="422"/>
      <c r="K152" s="422"/>
      <c r="L152" s="422"/>
      <c r="M152" s="422"/>
      <c r="N152" s="422"/>
      <c r="O152" s="422"/>
      <c r="P152" s="422"/>
      <c r="Q152" s="422"/>
      <c r="R152" s="12"/>
      <c r="S152" s="12"/>
      <c r="T152" s="2"/>
      <c r="U152" s="13"/>
      <c r="V152" s="2"/>
      <c r="W152" s="2"/>
    </row>
    <row r="153" spans="2:23" x14ac:dyDescent="0.15">
      <c r="D153" s="93"/>
      <c r="E153" s="94"/>
      <c r="F153" s="371"/>
      <c r="G153" s="364" t="s">
        <v>29</v>
      </c>
      <c r="H153" s="364" t="s">
        <v>30</v>
      </c>
      <c r="I153" s="374" t="s">
        <v>31</v>
      </c>
      <c r="J153" s="100"/>
      <c r="K153" s="101"/>
      <c r="L153" s="101"/>
      <c r="M153" s="101"/>
      <c r="N153" s="100"/>
      <c r="O153" s="101"/>
      <c r="P153" s="101"/>
      <c r="Q153" s="101"/>
      <c r="R153" s="20"/>
      <c r="S153" s="20"/>
      <c r="T153" s="2"/>
      <c r="U153" s="13"/>
      <c r="V153" s="2"/>
      <c r="W153" s="2"/>
    </row>
    <row r="154" spans="2:23" x14ac:dyDescent="0.15">
      <c r="D154" s="439" t="s">
        <v>79</v>
      </c>
      <c r="E154" s="440"/>
      <c r="F154" s="54">
        <f>G154+H154+I154</f>
        <v>398</v>
      </c>
      <c r="G154" s="55">
        <f>G156+G158+G160+G162+G164+G166+G168+G170+G172</f>
        <v>33</v>
      </c>
      <c r="H154" s="55">
        <f>H156+H158+H160+H162+H164+H166+H168+H170+H172</f>
        <v>67</v>
      </c>
      <c r="I154" s="56">
        <f>I156+I158+I160+I162+I164+I166+I168+I170+I172</f>
        <v>298</v>
      </c>
      <c r="J154" s="102"/>
      <c r="K154" s="102"/>
      <c r="L154" s="102"/>
      <c r="M154" s="102"/>
      <c r="N154" s="102"/>
      <c r="O154" s="102"/>
      <c r="P154" s="102"/>
      <c r="Q154" s="102"/>
      <c r="T154" s="2"/>
      <c r="U154" s="13"/>
      <c r="V154" s="2"/>
      <c r="W154" s="2"/>
    </row>
    <row r="155" spans="2:23" x14ac:dyDescent="0.15">
      <c r="D155" s="514"/>
      <c r="E155" s="473"/>
      <c r="F155" s="58">
        <f>ROUND(F154/(F$154+F$174),3)</f>
        <v>0.64700000000000002</v>
      </c>
      <c r="G155" s="59">
        <f>ROUND(G154/(G$154+G$174),3)</f>
        <v>0.50800000000000001</v>
      </c>
      <c r="H155" s="59">
        <f>ROUND(H154/(H$154+H$174),3)</f>
        <v>0.53200000000000003</v>
      </c>
      <c r="I155" s="60">
        <f>ROUND(I154/(I$154+I$174),3)</f>
        <v>0.70299999999999996</v>
      </c>
      <c r="J155" s="78"/>
      <c r="K155" s="78"/>
      <c r="L155" s="78"/>
      <c r="M155" s="78"/>
      <c r="N155" s="78"/>
      <c r="O155" s="78"/>
      <c r="P155" s="78"/>
      <c r="Q155" s="78"/>
      <c r="R155" s="51"/>
      <c r="S155" s="51"/>
      <c r="T155" s="2"/>
      <c r="U155" s="13"/>
      <c r="V155" s="2"/>
      <c r="W155" s="2"/>
    </row>
    <row r="156" spans="2:23" x14ac:dyDescent="0.15">
      <c r="D156" s="103"/>
      <c r="E156" s="509" t="s">
        <v>10</v>
      </c>
      <c r="F156" s="54">
        <f>G156+H156+I156</f>
        <v>329</v>
      </c>
      <c r="G156" s="55">
        <v>8</v>
      </c>
      <c r="H156" s="55">
        <v>59</v>
      </c>
      <c r="I156" s="56">
        <v>262</v>
      </c>
      <c r="J156" s="102"/>
      <c r="K156" s="102"/>
      <c r="L156" s="102"/>
      <c r="M156" s="102"/>
      <c r="N156" s="102"/>
      <c r="O156" s="102"/>
      <c r="P156" s="102"/>
      <c r="Q156" s="102"/>
      <c r="T156" s="2"/>
      <c r="U156" s="13"/>
      <c r="V156" s="2"/>
      <c r="W156" s="2"/>
    </row>
    <row r="157" spans="2:23" x14ac:dyDescent="0.15">
      <c r="D157" s="103"/>
      <c r="E157" s="509"/>
      <c r="F157" s="58">
        <f>ROUND(F156/F154,3)</f>
        <v>0.82699999999999996</v>
      </c>
      <c r="G157" s="59">
        <f>ROUND(G156/G154,3)</f>
        <v>0.24199999999999999</v>
      </c>
      <c r="H157" s="59">
        <f>ROUND(H156/H154,3)</f>
        <v>0.88100000000000001</v>
      </c>
      <c r="I157" s="60">
        <f>ROUND(I156/I154,3)</f>
        <v>0.879</v>
      </c>
      <c r="J157" s="78"/>
      <c r="K157" s="78"/>
      <c r="L157" s="78"/>
      <c r="M157" s="78"/>
      <c r="N157" s="78"/>
      <c r="O157" s="78"/>
      <c r="P157" s="78"/>
      <c r="Q157" s="78"/>
      <c r="R157" s="51"/>
      <c r="S157" s="51"/>
      <c r="T157" s="2" t="s">
        <v>10</v>
      </c>
      <c r="U157" s="13">
        <v>329</v>
      </c>
      <c r="V157" s="2"/>
      <c r="W157" s="2"/>
    </row>
    <row r="158" spans="2:23" x14ac:dyDescent="0.15">
      <c r="D158" s="103"/>
      <c r="E158" s="509" t="s">
        <v>80</v>
      </c>
      <c r="F158" s="54">
        <f>G158+H158+I158</f>
        <v>6</v>
      </c>
      <c r="G158" s="55">
        <v>4</v>
      </c>
      <c r="H158" s="55">
        <v>0</v>
      </c>
      <c r="I158" s="56">
        <v>2</v>
      </c>
      <c r="J158" s="102"/>
      <c r="K158" s="102"/>
      <c r="L158" s="102"/>
      <c r="M158" s="102"/>
      <c r="N158" s="102"/>
      <c r="O158" s="102"/>
      <c r="P158" s="102"/>
      <c r="Q158" s="102"/>
      <c r="T158" s="2" t="s">
        <v>80</v>
      </c>
      <c r="U158" s="13">
        <v>6</v>
      </c>
      <c r="V158" s="2"/>
      <c r="W158" s="2"/>
    </row>
    <row r="159" spans="2:23" x14ac:dyDescent="0.15">
      <c r="D159" s="103"/>
      <c r="E159" s="509"/>
      <c r="F159" s="58">
        <f>ROUND(F158/F154,3)</f>
        <v>1.4999999999999999E-2</v>
      </c>
      <c r="G159" s="59">
        <f>ROUND(G158/G154,3)</f>
        <v>0.121</v>
      </c>
      <c r="H159" s="59">
        <f>ROUND(H158/H154,3)</f>
        <v>0</v>
      </c>
      <c r="I159" s="60">
        <f>ROUND(I158/I154,3)</f>
        <v>7.0000000000000001E-3</v>
      </c>
      <c r="J159" s="78"/>
      <c r="K159" s="78"/>
      <c r="L159" s="78"/>
      <c r="M159" s="78"/>
      <c r="N159" s="78"/>
      <c r="O159" s="78"/>
      <c r="P159" s="78"/>
      <c r="Q159" s="78"/>
      <c r="R159" s="51"/>
      <c r="S159" s="51"/>
      <c r="T159" s="2" t="s">
        <v>81</v>
      </c>
      <c r="U159" s="13">
        <v>24</v>
      </c>
      <c r="V159" s="2"/>
      <c r="W159" s="2"/>
    </row>
    <row r="160" spans="2:23" x14ac:dyDescent="0.15">
      <c r="D160" s="103"/>
      <c r="E160" s="509" t="s">
        <v>81</v>
      </c>
      <c r="F160" s="54">
        <f>G160+H160+I160</f>
        <v>24</v>
      </c>
      <c r="G160" s="55">
        <v>4</v>
      </c>
      <c r="H160" s="55">
        <v>5</v>
      </c>
      <c r="I160" s="56">
        <v>15</v>
      </c>
      <c r="J160" s="102"/>
      <c r="K160" s="102"/>
      <c r="L160" s="102"/>
      <c r="M160" s="102"/>
      <c r="N160" s="102"/>
      <c r="O160" s="102"/>
      <c r="P160" s="102"/>
      <c r="Q160" s="102"/>
      <c r="T160" s="2" t="s">
        <v>82</v>
      </c>
      <c r="U160" s="13">
        <v>11</v>
      </c>
      <c r="V160" s="2"/>
      <c r="W160" s="2"/>
    </row>
    <row r="161" spans="4:23" x14ac:dyDescent="0.15">
      <c r="D161" s="103"/>
      <c r="E161" s="509"/>
      <c r="F161" s="58">
        <f>ROUND(F160/F154,3)</f>
        <v>0.06</v>
      </c>
      <c r="G161" s="59">
        <f>ROUND(G160/G154,3)</f>
        <v>0.121</v>
      </c>
      <c r="H161" s="59">
        <f>ROUND(H160/H154,3)</f>
        <v>7.4999999999999997E-2</v>
      </c>
      <c r="I161" s="60">
        <f>ROUND(I160/I154,3)</f>
        <v>0.05</v>
      </c>
      <c r="J161" s="78"/>
      <c r="K161" s="78"/>
      <c r="L161" s="78"/>
      <c r="M161" s="78"/>
      <c r="N161" s="78"/>
      <c r="O161" s="78"/>
      <c r="P161" s="78"/>
      <c r="Q161" s="78"/>
      <c r="R161" s="51"/>
      <c r="S161" s="51"/>
      <c r="T161" s="2" t="s">
        <v>83</v>
      </c>
      <c r="U161" s="13">
        <v>12</v>
      </c>
      <c r="V161" s="2"/>
      <c r="W161" s="2"/>
    </row>
    <row r="162" spans="4:23" x14ac:dyDescent="0.15">
      <c r="D162" s="103"/>
      <c r="E162" s="509" t="s">
        <v>82</v>
      </c>
      <c r="F162" s="54">
        <f>G162+H162+I162</f>
        <v>11</v>
      </c>
      <c r="G162" s="55">
        <v>5</v>
      </c>
      <c r="H162" s="55">
        <v>1</v>
      </c>
      <c r="I162" s="56">
        <v>5</v>
      </c>
      <c r="J162" s="102"/>
      <c r="K162" s="102"/>
      <c r="L162" s="102"/>
      <c r="M162" s="102"/>
      <c r="N162" s="102"/>
      <c r="O162" s="102"/>
      <c r="P162" s="102"/>
      <c r="Q162" s="102"/>
      <c r="T162" s="2" t="s">
        <v>84</v>
      </c>
      <c r="U162" s="13">
        <v>5</v>
      </c>
      <c r="V162" s="2"/>
      <c r="W162" s="2"/>
    </row>
    <row r="163" spans="4:23" x14ac:dyDescent="0.15">
      <c r="D163" s="103"/>
      <c r="E163" s="509"/>
      <c r="F163" s="58">
        <f>ROUND(F162/F154,3)</f>
        <v>2.8000000000000001E-2</v>
      </c>
      <c r="G163" s="59">
        <f>ROUND(G162/G154,3)</f>
        <v>0.152</v>
      </c>
      <c r="H163" s="59">
        <f>ROUND(H162/H154,3)</f>
        <v>1.4999999999999999E-2</v>
      </c>
      <c r="I163" s="60">
        <f>ROUND(I162/I154,3)</f>
        <v>1.7000000000000001E-2</v>
      </c>
      <c r="J163" s="78"/>
      <c r="K163" s="78"/>
      <c r="L163" s="78"/>
      <c r="M163" s="78"/>
      <c r="N163" s="78"/>
      <c r="O163" s="78"/>
      <c r="P163" s="78"/>
      <c r="Q163" s="78"/>
      <c r="R163" s="51"/>
      <c r="S163" s="51"/>
      <c r="T163" s="2" t="s">
        <v>85</v>
      </c>
      <c r="U163" s="13">
        <v>4</v>
      </c>
      <c r="V163" s="2"/>
      <c r="W163" s="2"/>
    </row>
    <row r="164" spans="4:23" x14ac:dyDescent="0.15">
      <c r="D164" s="103"/>
      <c r="E164" s="509" t="s">
        <v>83</v>
      </c>
      <c r="F164" s="54">
        <f>G164+H164+I164</f>
        <v>12</v>
      </c>
      <c r="G164" s="55">
        <v>3</v>
      </c>
      <c r="H164" s="55">
        <v>1</v>
      </c>
      <c r="I164" s="56">
        <v>8</v>
      </c>
      <c r="J164" s="102"/>
      <c r="K164" s="102"/>
      <c r="L164" s="102"/>
      <c r="M164" s="102"/>
      <c r="N164" s="102"/>
      <c r="O164" s="102"/>
      <c r="P164" s="102"/>
      <c r="Q164" s="102"/>
      <c r="T164" s="2" t="s">
        <v>86</v>
      </c>
      <c r="U164" s="13">
        <v>7</v>
      </c>
      <c r="V164" s="2"/>
      <c r="W164" s="2"/>
    </row>
    <row r="165" spans="4:23" x14ac:dyDescent="0.15">
      <c r="D165" s="103"/>
      <c r="E165" s="509"/>
      <c r="F165" s="58">
        <f>ROUND(F164/F154,3)</f>
        <v>0.03</v>
      </c>
      <c r="G165" s="59">
        <f>ROUND(G164/G154,3)</f>
        <v>9.0999999999999998E-2</v>
      </c>
      <c r="H165" s="59">
        <f>ROUND(H164/H154,3)</f>
        <v>1.4999999999999999E-2</v>
      </c>
      <c r="I165" s="60">
        <f>ROUND(I164/I154,3)</f>
        <v>2.7E-2</v>
      </c>
      <c r="J165" s="78"/>
      <c r="K165" s="78"/>
      <c r="L165" s="78"/>
      <c r="M165" s="78"/>
      <c r="N165" s="78"/>
      <c r="O165" s="78"/>
      <c r="P165" s="78"/>
      <c r="Q165" s="78"/>
      <c r="R165" s="51"/>
      <c r="S165" s="51"/>
      <c r="T165" s="2" t="s">
        <v>87</v>
      </c>
      <c r="U165" s="13">
        <v>217</v>
      </c>
      <c r="V165" s="2"/>
      <c r="W165" s="2"/>
    </row>
    <row r="166" spans="4:23" x14ac:dyDescent="0.15">
      <c r="D166" s="103"/>
      <c r="E166" s="509" t="s">
        <v>84</v>
      </c>
      <c r="F166" s="54">
        <f>G166+H166+I166</f>
        <v>5</v>
      </c>
      <c r="G166" s="55">
        <v>3</v>
      </c>
      <c r="H166" s="55">
        <v>1</v>
      </c>
      <c r="I166" s="56">
        <v>1</v>
      </c>
      <c r="J166" s="78"/>
      <c r="K166" s="78"/>
      <c r="L166" s="78"/>
      <c r="M166" s="78"/>
      <c r="N166" s="78"/>
      <c r="O166" s="78"/>
      <c r="P166" s="78"/>
      <c r="Q166" s="78"/>
      <c r="R166" s="51"/>
      <c r="S166" s="51"/>
      <c r="T166" s="2"/>
      <c r="U166" s="13"/>
      <c r="V166" s="2"/>
      <c r="W166" s="2"/>
    </row>
    <row r="167" spans="4:23" x14ac:dyDescent="0.15">
      <c r="D167" s="103"/>
      <c r="E167" s="509"/>
      <c r="F167" s="58">
        <f>ROUND(F166/F154,3)</f>
        <v>1.2999999999999999E-2</v>
      </c>
      <c r="G167" s="59">
        <f>ROUND(G166/G154,3)</f>
        <v>9.0999999999999998E-2</v>
      </c>
      <c r="H167" s="59">
        <f>ROUND(H166/H154,3)</f>
        <v>1.4999999999999999E-2</v>
      </c>
      <c r="I167" s="60">
        <f>ROUND(I166/I154,3)</f>
        <v>3.0000000000000001E-3</v>
      </c>
      <c r="J167" s="78"/>
      <c r="K167" s="78"/>
      <c r="L167" s="78"/>
      <c r="M167" s="78"/>
      <c r="N167" s="78"/>
      <c r="O167" s="78"/>
      <c r="P167" s="78"/>
      <c r="Q167" s="78"/>
      <c r="R167" s="51"/>
      <c r="S167" s="51"/>
      <c r="T167" s="2"/>
      <c r="U167" s="13"/>
      <c r="V167" s="2"/>
      <c r="W167" s="2"/>
    </row>
    <row r="168" spans="4:23" x14ac:dyDescent="0.15">
      <c r="D168" s="103"/>
      <c r="E168" s="510" t="s">
        <v>85</v>
      </c>
      <c r="F168" s="54">
        <f>G168+H168+I168</f>
        <v>4</v>
      </c>
      <c r="G168" s="55">
        <v>2</v>
      </c>
      <c r="H168" s="55">
        <v>0</v>
      </c>
      <c r="I168" s="56">
        <v>2</v>
      </c>
      <c r="J168" s="78"/>
      <c r="K168" s="78"/>
      <c r="L168" s="78"/>
      <c r="M168" s="78"/>
      <c r="N168" s="78"/>
      <c r="O168" s="78"/>
      <c r="P168" s="78"/>
      <c r="Q168" s="78"/>
      <c r="R168" s="51"/>
      <c r="S168" s="51"/>
      <c r="T168" s="2"/>
      <c r="U168" s="13"/>
      <c r="V168" s="2"/>
      <c r="W168" s="2"/>
    </row>
    <row r="169" spans="4:23" x14ac:dyDescent="0.15">
      <c r="D169" s="103"/>
      <c r="E169" s="511"/>
      <c r="F169" s="58">
        <f>ROUND(F168/F154,3)</f>
        <v>0.01</v>
      </c>
      <c r="G169" s="59">
        <f>ROUND(G168/G154,3)</f>
        <v>6.0999999999999999E-2</v>
      </c>
      <c r="H169" s="59">
        <f>ROUND(H168/H154,3)</f>
        <v>0</v>
      </c>
      <c r="I169" s="60">
        <f>ROUND(I168/I154,3)</f>
        <v>7.0000000000000001E-3</v>
      </c>
      <c r="J169" s="78"/>
      <c r="K169" s="78"/>
      <c r="L169" s="78"/>
      <c r="M169" s="78"/>
      <c r="N169" s="78"/>
      <c r="O169" s="78"/>
      <c r="P169" s="78"/>
      <c r="Q169" s="78"/>
      <c r="R169" s="51"/>
      <c r="S169" s="51"/>
      <c r="T169" s="2"/>
      <c r="U169" s="13"/>
      <c r="V169" s="2"/>
      <c r="W169" s="2"/>
    </row>
    <row r="170" spans="4:23" x14ac:dyDescent="0.15">
      <c r="D170" s="103"/>
      <c r="E170" s="512" t="s">
        <v>88</v>
      </c>
      <c r="F170" s="54">
        <f t="shared" ref="F170" si="47">G170+H170+I170</f>
        <v>7</v>
      </c>
      <c r="G170" s="55">
        <v>4</v>
      </c>
      <c r="H170" s="55">
        <v>0</v>
      </c>
      <c r="I170" s="56">
        <v>3</v>
      </c>
      <c r="J170" s="78"/>
      <c r="K170" s="78"/>
      <c r="L170" s="78"/>
      <c r="M170" s="78"/>
      <c r="N170" s="78"/>
      <c r="O170" s="78"/>
      <c r="P170" s="78"/>
      <c r="Q170" s="78"/>
      <c r="R170" s="51"/>
      <c r="S170" s="51"/>
      <c r="T170" s="2"/>
      <c r="U170" s="13"/>
      <c r="V170" s="2"/>
      <c r="W170" s="2"/>
    </row>
    <row r="171" spans="4:23" x14ac:dyDescent="0.15">
      <c r="D171" s="103"/>
      <c r="E171" s="513"/>
      <c r="F171" s="58">
        <f>ROUND(F170/F154,3)</f>
        <v>1.7999999999999999E-2</v>
      </c>
      <c r="G171" s="59">
        <f>ROUND(G170/(G$251+G$253+G$255+G$257+G$259+G$261),3)</f>
        <v>6.0999999999999999E-2</v>
      </c>
      <c r="H171" s="59">
        <f>ROUND(H170/H154,3)</f>
        <v>0</v>
      </c>
      <c r="I171" s="60">
        <f>ROUND(I170/I154,3)</f>
        <v>0.01</v>
      </c>
      <c r="J171" s="78"/>
      <c r="K171" s="78"/>
      <c r="L171" s="78"/>
      <c r="M171" s="78"/>
      <c r="N171" s="78"/>
      <c r="O171" s="78"/>
      <c r="P171" s="78"/>
      <c r="Q171" s="78"/>
      <c r="R171" s="51"/>
      <c r="S171" s="51"/>
      <c r="T171" s="2"/>
      <c r="U171" s="13"/>
      <c r="V171" s="2"/>
      <c r="W171" s="2"/>
    </row>
    <row r="172" spans="4:23" x14ac:dyDescent="0.15">
      <c r="D172" s="103"/>
      <c r="E172" s="509" t="s">
        <v>89</v>
      </c>
      <c r="F172" s="54">
        <f t="shared" ref="F172" si="48">G172+H172+I172</f>
        <v>0</v>
      </c>
      <c r="G172" s="55">
        <v>0</v>
      </c>
      <c r="H172" s="55">
        <v>0</v>
      </c>
      <c r="I172" s="56">
        <v>0</v>
      </c>
      <c r="J172" s="78"/>
      <c r="K172" s="78"/>
      <c r="L172" s="78"/>
      <c r="M172" s="78"/>
      <c r="N172" s="78"/>
      <c r="O172" s="78"/>
      <c r="P172" s="78"/>
      <c r="Q172" s="78"/>
      <c r="R172" s="51"/>
      <c r="S172" s="51"/>
      <c r="T172" s="2"/>
      <c r="U172" s="13"/>
      <c r="V172" s="2"/>
      <c r="W172" s="2"/>
    </row>
    <row r="173" spans="4:23" x14ac:dyDescent="0.15">
      <c r="D173" s="103"/>
      <c r="E173" s="439"/>
      <c r="F173" s="58">
        <f>ROUND(F172/F154,3)</f>
        <v>0</v>
      </c>
      <c r="G173" s="59">
        <f>ROUND(G172/G154,3)</f>
        <v>0</v>
      </c>
      <c r="H173" s="59">
        <f>ROUND(H172/H154,3)</f>
        <v>0</v>
      </c>
      <c r="I173" s="60">
        <f>ROUND(I172/I154,3)</f>
        <v>0</v>
      </c>
      <c r="J173" s="78"/>
      <c r="K173" s="78"/>
      <c r="L173" s="78"/>
      <c r="M173" s="78"/>
      <c r="N173" s="78"/>
      <c r="O173" s="78"/>
      <c r="P173" s="78"/>
      <c r="Q173" s="78"/>
      <c r="R173" s="51"/>
      <c r="S173" s="51"/>
      <c r="T173" s="2"/>
      <c r="U173" s="13"/>
      <c r="V173" s="2"/>
      <c r="W173" s="2"/>
    </row>
    <row r="174" spans="4:23" x14ac:dyDescent="0.15">
      <c r="D174" s="449" t="s">
        <v>9</v>
      </c>
      <c r="E174" s="426"/>
      <c r="F174" s="54">
        <f>G174+H174+I174</f>
        <v>217</v>
      </c>
      <c r="G174" s="55">
        <v>32</v>
      </c>
      <c r="H174" s="55">
        <v>59</v>
      </c>
      <c r="I174" s="56">
        <v>126</v>
      </c>
      <c r="J174" s="78"/>
      <c r="K174" s="78"/>
      <c r="L174" s="78"/>
      <c r="M174" s="78"/>
      <c r="N174" s="78"/>
      <c r="O174" s="78"/>
      <c r="P174" s="78"/>
      <c r="Q174" s="78"/>
      <c r="R174" s="51"/>
      <c r="S174" s="51"/>
      <c r="T174" s="2"/>
      <c r="U174" s="13"/>
      <c r="V174" s="2"/>
      <c r="W174" s="2"/>
    </row>
    <row r="175" spans="4:23" x14ac:dyDescent="0.15">
      <c r="D175" s="449"/>
      <c r="E175" s="426"/>
      <c r="F175" s="58">
        <f>ROUND(F174/(F$154+F$174),3)</f>
        <v>0.35299999999999998</v>
      </c>
      <c r="G175" s="59">
        <f>ROUND(G174/(G$154+G$174),3)</f>
        <v>0.49199999999999999</v>
      </c>
      <c r="H175" s="59">
        <f>ROUND(H174/(H$154+H$174),3)</f>
        <v>0.46800000000000003</v>
      </c>
      <c r="I175" s="60">
        <f>ROUND(I174/(I$154+I$174),3)</f>
        <v>0.29699999999999999</v>
      </c>
      <c r="J175" s="78"/>
      <c r="K175" s="78"/>
      <c r="L175" s="78"/>
      <c r="M175" s="78"/>
      <c r="N175" s="78"/>
      <c r="O175" s="78"/>
      <c r="P175" s="78"/>
      <c r="Q175" s="78"/>
      <c r="R175" s="51"/>
      <c r="S175" s="51"/>
      <c r="T175" s="2"/>
      <c r="U175" s="13"/>
      <c r="V175" s="2"/>
      <c r="W175" s="2"/>
    </row>
    <row r="176" spans="4:23" x14ac:dyDescent="0.15">
      <c r="D176" s="449" t="s">
        <v>53</v>
      </c>
      <c r="E176" s="426"/>
      <c r="F176" s="54">
        <f t="shared" ref="F176:I177" si="49">F154+F174</f>
        <v>615</v>
      </c>
      <c r="G176" s="55">
        <f t="shared" si="49"/>
        <v>65</v>
      </c>
      <c r="H176" s="55">
        <f t="shared" si="49"/>
        <v>126</v>
      </c>
      <c r="I176" s="56">
        <f t="shared" si="49"/>
        <v>424</v>
      </c>
      <c r="J176" s="102"/>
      <c r="K176" s="102"/>
      <c r="L176" s="102"/>
      <c r="M176" s="102"/>
      <c r="N176" s="52"/>
      <c r="O176" s="52"/>
      <c r="P176" s="52"/>
      <c r="Q176" s="52"/>
      <c r="T176" s="2"/>
      <c r="U176" s="13"/>
      <c r="V176" s="2"/>
      <c r="W176" s="2"/>
    </row>
    <row r="177" spans="1:40" ht="14.25" thickBot="1" x14ac:dyDescent="0.2">
      <c r="D177" s="449"/>
      <c r="E177" s="426"/>
      <c r="F177" s="65">
        <f t="shared" si="49"/>
        <v>1</v>
      </c>
      <c r="G177" s="66">
        <f t="shared" si="49"/>
        <v>1</v>
      </c>
      <c r="H177" s="66">
        <f t="shared" si="49"/>
        <v>1</v>
      </c>
      <c r="I177" s="67">
        <f t="shared" si="49"/>
        <v>1</v>
      </c>
      <c r="J177" s="104"/>
      <c r="K177" s="104"/>
      <c r="L177" s="104"/>
      <c r="M177" s="104"/>
      <c r="N177" s="104"/>
      <c r="O177" s="104"/>
      <c r="P177" s="104"/>
      <c r="Q177" s="104"/>
      <c r="R177" s="72"/>
      <c r="S177" s="72"/>
      <c r="T177" s="46"/>
      <c r="U177" s="47"/>
      <c r="V177" s="46"/>
      <c r="W177" s="2"/>
    </row>
    <row r="178" spans="1:40" x14ac:dyDescent="0.15">
      <c r="F178" s="72"/>
      <c r="G178" s="72"/>
      <c r="H178" s="72"/>
      <c r="I178" s="72"/>
      <c r="J178" s="72"/>
      <c r="K178" s="90"/>
      <c r="L178" s="72"/>
      <c r="N178" s="72"/>
      <c r="O178" s="90"/>
      <c r="P178" s="72"/>
    </row>
    <row r="179" spans="1:40" x14ac:dyDescent="0.15">
      <c r="A179" s="105"/>
      <c r="B179" s="52"/>
      <c r="C179" s="52"/>
      <c r="D179" s="52"/>
      <c r="E179" s="52"/>
      <c r="F179" s="90"/>
      <c r="G179" s="90"/>
      <c r="H179" s="90"/>
      <c r="I179" s="90"/>
      <c r="J179" s="90"/>
      <c r="K179" s="90"/>
      <c r="L179" s="90"/>
      <c r="M179" s="52"/>
      <c r="N179" s="90"/>
      <c r="O179" s="90"/>
      <c r="P179" s="72"/>
    </row>
    <row r="180" spans="1:40" x14ac:dyDescent="0.15">
      <c r="A180" s="105"/>
      <c r="B180" s="106"/>
      <c r="C180" s="52"/>
      <c r="D180" s="52"/>
      <c r="E180" s="52"/>
      <c r="F180" s="107"/>
      <c r="G180" s="52"/>
      <c r="H180" s="52"/>
      <c r="I180" s="52"/>
      <c r="J180" s="52"/>
      <c r="K180" s="52"/>
      <c r="L180" s="52"/>
      <c r="M180" s="52"/>
      <c r="N180" s="52"/>
      <c r="O180" s="52"/>
    </row>
    <row r="181" spans="1:40" x14ac:dyDescent="0.15">
      <c r="A181" s="105"/>
      <c r="B181" s="52"/>
      <c r="C181" s="52"/>
      <c r="D181" s="48"/>
      <c r="E181" s="48"/>
      <c r="F181" s="422"/>
      <c r="G181" s="422"/>
      <c r="H181" s="422"/>
      <c r="I181" s="422"/>
      <c r="J181" s="422"/>
      <c r="K181" s="422"/>
      <c r="L181" s="422"/>
      <c r="M181" s="422"/>
      <c r="N181" s="105"/>
      <c r="O181" s="1"/>
      <c r="P181" s="1"/>
      <c r="Q181" s="1"/>
      <c r="R181" s="1"/>
      <c r="S181" s="1"/>
      <c r="AF181" s="5"/>
      <c r="AN181" s="1"/>
    </row>
    <row r="182" spans="1:40" x14ac:dyDescent="0.15">
      <c r="A182" s="105"/>
      <c r="B182" s="52"/>
      <c r="C182" s="52"/>
      <c r="D182" s="100"/>
      <c r="E182" s="100"/>
      <c r="F182" s="100"/>
      <c r="G182" s="101"/>
      <c r="H182" s="101"/>
      <c r="I182" s="101"/>
      <c r="J182" s="100"/>
      <c r="K182" s="101"/>
      <c r="L182" s="101"/>
      <c r="M182" s="101"/>
      <c r="N182" s="105"/>
      <c r="O182" s="1"/>
      <c r="P182" s="1"/>
      <c r="Q182" s="1"/>
      <c r="R182" s="1"/>
      <c r="S182" s="1"/>
      <c r="AF182" s="5"/>
      <c r="AN182" s="1"/>
    </row>
    <row r="183" spans="1:40" x14ac:dyDescent="0.15">
      <c r="A183" s="105"/>
      <c r="B183" s="52"/>
      <c r="C183" s="52"/>
      <c r="D183" s="478"/>
      <c r="E183" s="473"/>
      <c r="F183" s="102"/>
      <c r="G183" s="102"/>
      <c r="H183" s="102"/>
      <c r="I183" s="102"/>
      <c r="J183" s="102"/>
      <c r="K183" s="102"/>
      <c r="L183" s="102"/>
      <c r="M183" s="102"/>
      <c r="N183" s="105"/>
      <c r="O183" s="1"/>
      <c r="P183" s="1"/>
      <c r="Q183" s="1"/>
      <c r="R183" s="1"/>
      <c r="S183" s="1"/>
      <c r="AF183" s="5"/>
      <c r="AN183" s="1"/>
    </row>
    <row r="184" spans="1:40" x14ac:dyDescent="0.15">
      <c r="A184" s="105"/>
      <c r="B184" s="52"/>
      <c r="C184" s="52"/>
      <c r="D184" s="473"/>
      <c r="E184" s="473"/>
      <c r="F184" s="78"/>
      <c r="G184" s="78"/>
      <c r="H184" s="78"/>
      <c r="I184" s="78"/>
      <c r="J184" s="78"/>
      <c r="K184" s="78"/>
      <c r="L184" s="78"/>
      <c r="M184" s="78"/>
      <c r="N184" s="105"/>
      <c r="O184" s="1"/>
      <c r="P184" s="1"/>
      <c r="Q184" s="1"/>
      <c r="R184" s="1"/>
      <c r="S184" s="1"/>
      <c r="AF184" s="5"/>
      <c r="AN184" s="1"/>
    </row>
    <row r="185" spans="1:40" x14ac:dyDescent="0.15">
      <c r="A185" s="105"/>
      <c r="B185" s="52"/>
      <c r="C185" s="52"/>
      <c r="D185" s="478"/>
      <c r="E185" s="473"/>
      <c r="F185" s="102"/>
      <c r="G185" s="102"/>
      <c r="H185" s="102"/>
      <c r="I185" s="102"/>
      <c r="J185" s="102"/>
      <c r="K185" s="102"/>
      <c r="L185" s="102"/>
      <c r="M185" s="102"/>
      <c r="N185" s="105"/>
      <c r="O185" s="1"/>
      <c r="P185" s="1"/>
      <c r="Q185" s="1"/>
      <c r="R185" s="1"/>
      <c r="S185" s="1"/>
      <c r="AF185" s="5"/>
      <c r="AN185" s="1"/>
    </row>
    <row r="186" spans="1:40" x14ac:dyDescent="0.15">
      <c r="A186" s="105"/>
      <c r="B186" s="52"/>
      <c r="C186" s="52"/>
      <c r="D186" s="473"/>
      <c r="E186" s="473"/>
      <c r="F186" s="78"/>
      <c r="G186" s="78"/>
      <c r="H186" s="78"/>
      <c r="I186" s="78"/>
      <c r="J186" s="78"/>
      <c r="K186" s="78"/>
      <c r="L186" s="78"/>
      <c r="M186" s="78"/>
      <c r="N186" s="105"/>
      <c r="O186" s="1"/>
      <c r="P186" s="1"/>
      <c r="Q186" s="1"/>
      <c r="R186" s="1"/>
      <c r="S186" s="1"/>
      <c r="AF186" s="5"/>
      <c r="AN186" s="1"/>
    </row>
    <row r="187" spans="1:40" ht="13.5" customHeight="1" x14ac:dyDescent="0.15">
      <c r="A187" s="105"/>
      <c r="B187" s="52"/>
      <c r="C187" s="52"/>
      <c r="D187" s="473"/>
      <c r="E187" s="473"/>
      <c r="F187" s="102"/>
      <c r="G187" s="102"/>
      <c r="H187" s="102"/>
      <c r="I187" s="102"/>
      <c r="J187" s="102"/>
      <c r="K187" s="102"/>
      <c r="L187" s="102"/>
      <c r="M187" s="102"/>
      <c r="N187" s="105"/>
      <c r="O187" s="1"/>
      <c r="P187" s="1"/>
      <c r="Q187" s="1"/>
      <c r="R187" s="1"/>
      <c r="S187" s="1"/>
      <c r="AF187" s="5"/>
      <c r="AN187" s="1"/>
    </row>
    <row r="188" spans="1:40" x14ac:dyDescent="0.15">
      <c r="A188" s="105"/>
      <c r="B188" s="52"/>
      <c r="C188" s="52"/>
      <c r="D188" s="473"/>
      <c r="E188" s="473"/>
      <c r="F188" s="78"/>
      <c r="G188" s="78"/>
      <c r="H188" s="78"/>
      <c r="I188" s="78"/>
      <c r="J188" s="78"/>
      <c r="K188" s="78"/>
      <c r="L188" s="78"/>
      <c r="M188" s="78"/>
      <c r="N188" s="105"/>
      <c r="O188" s="1"/>
      <c r="P188" s="1"/>
      <c r="Q188" s="1"/>
      <c r="R188" s="1"/>
      <c r="S188" s="1"/>
      <c r="AF188" s="5"/>
      <c r="AN188" s="1"/>
    </row>
    <row r="189" spans="1:40" x14ac:dyDescent="0.15">
      <c r="A189" s="105"/>
      <c r="B189" s="52"/>
      <c r="C189" s="52"/>
      <c r="D189" s="422"/>
      <c r="E189" s="422"/>
      <c r="F189" s="102"/>
      <c r="G189" s="102"/>
      <c r="H189" s="102"/>
      <c r="I189" s="102"/>
      <c r="J189" s="102"/>
      <c r="K189" s="102"/>
      <c r="L189" s="102"/>
      <c r="M189" s="102"/>
      <c r="N189" s="105"/>
      <c r="O189" s="1"/>
      <c r="P189" s="1"/>
      <c r="Q189" s="1"/>
      <c r="R189" s="1"/>
      <c r="S189" s="1"/>
      <c r="AF189" s="5"/>
      <c r="AN189" s="1"/>
    </row>
    <row r="190" spans="1:40" x14ac:dyDescent="0.15">
      <c r="A190" s="105"/>
      <c r="B190" s="52"/>
      <c r="C190" s="52"/>
      <c r="D190" s="422"/>
      <c r="E190" s="422"/>
      <c r="F190" s="104"/>
      <c r="G190" s="104"/>
      <c r="H190" s="104"/>
      <c r="I190" s="104"/>
      <c r="J190" s="104"/>
      <c r="K190" s="104"/>
      <c r="L190" s="104"/>
      <c r="M190" s="104"/>
      <c r="N190" s="105"/>
      <c r="O190" s="1"/>
      <c r="P190" s="1"/>
      <c r="Q190" s="1"/>
      <c r="R190" s="1"/>
      <c r="S190" s="1"/>
      <c r="AF190" s="5"/>
      <c r="AN190" s="1"/>
    </row>
    <row r="191" spans="1:40" x14ac:dyDescent="0.15">
      <c r="A191" s="105"/>
      <c r="B191" s="52"/>
      <c r="C191" s="52"/>
      <c r="D191" s="100"/>
      <c r="E191" s="100"/>
      <c r="F191" s="78"/>
      <c r="G191" s="78"/>
      <c r="H191" s="78"/>
      <c r="I191" s="78"/>
      <c r="J191" s="90"/>
      <c r="K191" s="52"/>
      <c r="L191" s="52"/>
      <c r="M191" s="52"/>
      <c r="N191" s="105"/>
      <c r="O191" s="1"/>
      <c r="P191" s="1"/>
      <c r="Q191" s="1"/>
      <c r="R191" s="1"/>
      <c r="S191" s="1"/>
      <c r="AF191" s="5"/>
      <c r="AN191" s="1"/>
    </row>
    <row r="192" spans="1:40" x14ac:dyDescent="0.15">
      <c r="A192" s="105"/>
      <c r="B192" s="52"/>
      <c r="C192" s="52"/>
      <c r="D192" s="52"/>
      <c r="E192" s="52"/>
      <c r="F192" s="90"/>
      <c r="G192" s="90"/>
      <c r="H192" s="90"/>
      <c r="I192" s="90"/>
      <c r="J192" s="90"/>
      <c r="K192" s="90"/>
      <c r="L192" s="90"/>
      <c r="M192" s="52"/>
      <c r="N192" s="90"/>
      <c r="O192" s="90"/>
      <c r="P192" s="72"/>
    </row>
    <row r="193" spans="2:23" ht="14.25" thickBot="1" x14ac:dyDescent="0.2">
      <c r="B193" s="10" t="s">
        <v>90</v>
      </c>
      <c r="F193" s="108"/>
      <c r="K193" s="52"/>
      <c r="O193" s="52"/>
    </row>
    <row r="194" spans="2:23" x14ac:dyDescent="0.15">
      <c r="D194" s="91"/>
      <c r="E194" s="92"/>
      <c r="F194" s="444" t="s">
        <v>26</v>
      </c>
      <c r="G194" s="455"/>
      <c r="H194" s="455"/>
      <c r="I194" s="456"/>
      <c r="J194" s="422"/>
      <c r="K194" s="422"/>
      <c r="L194" s="422"/>
      <c r="M194" s="422"/>
      <c r="N194" s="422"/>
      <c r="O194" s="422"/>
      <c r="P194" s="422"/>
      <c r="Q194" s="422"/>
      <c r="R194" s="12"/>
      <c r="S194" s="12"/>
      <c r="T194" s="2"/>
      <c r="U194" s="13"/>
      <c r="V194" s="2"/>
      <c r="W194" s="2"/>
    </row>
    <row r="195" spans="2:23" ht="14.25" customHeight="1" x14ac:dyDescent="0.15">
      <c r="D195" s="93"/>
      <c r="E195" s="94"/>
      <c r="F195" s="371"/>
      <c r="G195" s="364" t="s">
        <v>29</v>
      </c>
      <c r="H195" s="364" t="s">
        <v>30</v>
      </c>
      <c r="I195" s="374" t="s">
        <v>31</v>
      </c>
      <c r="J195" s="100"/>
      <c r="K195" s="101"/>
      <c r="L195" s="101"/>
      <c r="M195" s="101"/>
      <c r="N195" s="100"/>
      <c r="O195" s="101"/>
      <c r="P195" s="101"/>
      <c r="Q195" s="101"/>
      <c r="R195" s="20"/>
      <c r="S195" s="20"/>
      <c r="T195" s="2"/>
      <c r="U195" s="13"/>
      <c r="V195" s="2"/>
      <c r="W195" s="2"/>
    </row>
    <row r="196" spans="2:23" ht="13.5" customHeight="1" x14ac:dyDescent="0.15">
      <c r="D196" s="439" t="s">
        <v>79</v>
      </c>
      <c r="E196" s="440"/>
      <c r="F196" s="54">
        <f>G196+H196+I196</f>
        <v>318</v>
      </c>
      <c r="G196" s="55">
        <f>G198+G200+G202+G204+G206+G208+G210+G212+G214</f>
        <v>24</v>
      </c>
      <c r="H196" s="55">
        <f>H198+H200+H202+H204+H206+H208+H210+H212+H214</f>
        <v>53</v>
      </c>
      <c r="I196" s="56">
        <f>I198+I200+I202+I204+I206+I208+I210+I212+I214</f>
        <v>241</v>
      </c>
      <c r="J196" s="102"/>
      <c r="K196" s="102"/>
      <c r="L196" s="102"/>
      <c r="M196" s="102"/>
      <c r="N196" s="102"/>
      <c r="O196" s="102"/>
      <c r="P196" s="102"/>
      <c r="Q196" s="102"/>
      <c r="T196" s="2" t="s">
        <v>10</v>
      </c>
      <c r="U196" s="13">
        <v>282</v>
      </c>
      <c r="V196" s="2"/>
      <c r="W196" s="2"/>
    </row>
    <row r="197" spans="2:23" x14ac:dyDescent="0.15">
      <c r="D197" s="514"/>
      <c r="E197" s="473"/>
      <c r="F197" s="58">
        <f>ROUND(F196/(F$196+F$216),3)</f>
        <v>0.52900000000000003</v>
      </c>
      <c r="G197" s="59">
        <f>ROUND(G196/(G$196+G$216),3)</f>
        <v>0.36899999999999999</v>
      </c>
      <c r="H197" s="59">
        <f>ROUND(H196/(H$196+H$216),3)</f>
        <v>0.43099999999999999</v>
      </c>
      <c r="I197" s="60">
        <f>ROUND(I196/(I$196+I$216),3)</f>
        <v>0.58399999999999996</v>
      </c>
      <c r="J197" s="78"/>
      <c r="K197" s="78"/>
      <c r="L197" s="78"/>
      <c r="M197" s="78"/>
      <c r="N197" s="78"/>
      <c r="O197" s="78"/>
      <c r="P197" s="78"/>
      <c r="Q197" s="78"/>
      <c r="R197" s="51"/>
      <c r="S197" s="51"/>
      <c r="T197" s="2" t="s">
        <v>80</v>
      </c>
      <c r="U197" s="13">
        <v>3</v>
      </c>
      <c r="V197" s="2"/>
      <c r="W197" s="2"/>
    </row>
    <row r="198" spans="2:23" x14ac:dyDescent="0.15">
      <c r="D198" s="103"/>
      <c r="E198" s="509" t="s">
        <v>10</v>
      </c>
      <c r="F198" s="54">
        <f>G198+H198+I198</f>
        <v>282</v>
      </c>
      <c r="G198" s="55">
        <v>11</v>
      </c>
      <c r="H198" s="55">
        <v>49</v>
      </c>
      <c r="I198" s="56">
        <v>222</v>
      </c>
      <c r="J198" s="102"/>
      <c r="K198" s="102"/>
      <c r="L198" s="102"/>
      <c r="M198" s="102"/>
      <c r="N198" s="102"/>
      <c r="O198" s="102"/>
      <c r="P198" s="102"/>
      <c r="Q198" s="102"/>
      <c r="T198" s="2" t="s">
        <v>81</v>
      </c>
      <c r="U198" s="13">
        <v>16</v>
      </c>
      <c r="V198" s="2"/>
      <c r="W198" s="2"/>
    </row>
    <row r="199" spans="2:23" x14ac:dyDescent="0.15">
      <c r="D199" s="103"/>
      <c r="E199" s="509"/>
      <c r="F199" s="58">
        <f>ROUND(F198/F196,3)</f>
        <v>0.88700000000000001</v>
      </c>
      <c r="G199" s="59">
        <f>ROUND(G198/G196,3)</f>
        <v>0.45800000000000002</v>
      </c>
      <c r="H199" s="59">
        <f>ROUND(H198/H196,3)</f>
        <v>0.92500000000000004</v>
      </c>
      <c r="I199" s="60">
        <f>ROUND(I198/I196,3)</f>
        <v>0.92100000000000004</v>
      </c>
      <c r="J199" s="78"/>
      <c r="K199" s="78"/>
      <c r="L199" s="78"/>
      <c r="M199" s="78"/>
      <c r="N199" s="78"/>
      <c r="O199" s="78"/>
      <c r="P199" s="78"/>
      <c r="Q199" s="78"/>
      <c r="R199" s="51"/>
      <c r="S199" s="51"/>
      <c r="T199" s="2" t="s">
        <v>82</v>
      </c>
      <c r="U199" s="13">
        <v>4</v>
      </c>
      <c r="V199" s="2"/>
      <c r="W199" s="2"/>
    </row>
    <row r="200" spans="2:23" x14ac:dyDescent="0.15">
      <c r="D200" s="103"/>
      <c r="E200" s="509" t="s">
        <v>80</v>
      </c>
      <c r="F200" s="54">
        <f>G200+H200+I200</f>
        <v>3</v>
      </c>
      <c r="G200" s="55">
        <v>2</v>
      </c>
      <c r="H200" s="55">
        <v>0</v>
      </c>
      <c r="I200" s="56">
        <v>1</v>
      </c>
      <c r="J200" s="102"/>
      <c r="K200" s="102"/>
      <c r="L200" s="102"/>
      <c r="M200" s="102"/>
      <c r="N200" s="102"/>
      <c r="O200" s="102"/>
      <c r="P200" s="102"/>
      <c r="Q200" s="102"/>
      <c r="R200" s="51"/>
      <c r="S200" s="51"/>
      <c r="T200" s="2" t="s">
        <v>83</v>
      </c>
      <c r="U200" s="13">
        <v>6</v>
      </c>
      <c r="V200" s="2"/>
      <c r="W200" s="2"/>
    </row>
    <row r="201" spans="2:23" x14ac:dyDescent="0.15">
      <c r="D201" s="103"/>
      <c r="E201" s="509"/>
      <c r="F201" s="58">
        <f>ROUND(F200/F196,3)</f>
        <v>8.9999999999999993E-3</v>
      </c>
      <c r="G201" s="59">
        <f>ROUND(G200/G196,3)</f>
        <v>8.3000000000000004E-2</v>
      </c>
      <c r="H201" s="59">
        <f>ROUND(H200/H196,3)</f>
        <v>0</v>
      </c>
      <c r="I201" s="60">
        <f>ROUND(I200/I196,3)</f>
        <v>4.0000000000000001E-3</v>
      </c>
      <c r="J201" s="78"/>
      <c r="K201" s="78"/>
      <c r="L201" s="78"/>
      <c r="M201" s="78"/>
      <c r="N201" s="78"/>
      <c r="O201" s="78"/>
      <c r="P201" s="78"/>
      <c r="Q201" s="78"/>
      <c r="R201" s="51"/>
      <c r="S201" s="51"/>
      <c r="T201" s="2" t="s">
        <v>84</v>
      </c>
      <c r="U201" s="13">
        <v>1</v>
      </c>
      <c r="V201" s="2"/>
      <c r="W201" s="2"/>
    </row>
    <row r="202" spans="2:23" x14ac:dyDescent="0.15">
      <c r="D202" s="103"/>
      <c r="E202" s="509" t="s">
        <v>81</v>
      </c>
      <c r="F202" s="54">
        <f>G202+H202+I202</f>
        <v>16</v>
      </c>
      <c r="G202" s="55">
        <v>2</v>
      </c>
      <c r="H202" s="55">
        <v>2</v>
      </c>
      <c r="I202" s="56">
        <v>12</v>
      </c>
      <c r="J202" s="102"/>
      <c r="K202" s="102"/>
      <c r="L202" s="102"/>
      <c r="M202" s="102"/>
      <c r="N202" s="102"/>
      <c r="O202" s="102"/>
      <c r="P202" s="102"/>
      <c r="Q202" s="102"/>
      <c r="R202" s="51"/>
      <c r="S202" s="51"/>
      <c r="T202" s="2" t="s">
        <v>85</v>
      </c>
      <c r="U202" s="13">
        <v>1</v>
      </c>
      <c r="V202" s="2"/>
      <c r="W202" s="2"/>
    </row>
    <row r="203" spans="2:23" x14ac:dyDescent="0.15">
      <c r="D203" s="103"/>
      <c r="E203" s="509"/>
      <c r="F203" s="58">
        <f>ROUND(F202/F196,3)</f>
        <v>0.05</v>
      </c>
      <c r="G203" s="59">
        <f>ROUND(G202/G196,3)</f>
        <v>8.3000000000000004E-2</v>
      </c>
      <c r="H203" s="59">
        <f>ROUND(H202/H196,3)</f>
        <v>3.7999999999999999E-2</v>
      </c>
      <c r="I203" s="60">
        <f>ROUND(I202/I196,3)</f>
        <v>0.05</v>
      </c>
      <c r="J203" s="78"/>
      <c r="K203" s="78"/>
      <c r="L203" s="78"/>
      <c r="M203" s="78"/>
      <c r="N203" s="78"/>
      <c r="O203" s="78"/>
      <c r="P203" s="78"/>
      <c r="Q203" s="78"/>
      <c r="R203" s="51"/>
      <c r="S203" s="51"/>
      <c r="T203" s="2" t="s">
        <v>86</v>
      </c>
      <c r="U203" s="13">
        <v>5</v>
      </c>
      <c r="V203" s="2"/>
      <c r="W203" s="2"/>
    </row>
    <row r="204" spans="2:23" ht="13.5" customHeight="1" x14ac:dyDescent="0.15">
      <c r="D204" s="103"/>
      <c r="E204" s="509" t="s">
        <v>82</v>
      </c>
      <c r="F204" s="54">
        <f>G204+H204+I204</f>
        <v>4</v>
      </c>
      <c r="G204" s="55">
        <v>2</v>
      </c>
      <c r="H204" s="55">
        <v>1</v>
      </c>
      <c r="I204" s="56">
        <v>1</v>
      </c>
      <c r="J204" s="422"/>
      <c r="K204" s="417"/>
      <c r="L204" s="417"/>
      <c r="M204" s="417"/>
      <c r="N204" s="102"/>
      <c r="O204" s="102"/>
      <c r="P204" s="102"/>
      <c r="Q204" s="102"/>
      <c r="T204" s="2" t="s">
        <v>87</v>
      </c>
      <c r="U204" s="13">
        <v>283</v>
      </c>
      <c r="V204" s="2"/>
      <c r="W204" s="2"/>
    </row>
    <row r="205" spans="2:23" x14ac:dyDescent="0.15">
      <c r="D205" s="103"/>
      <c r="E205" s="509"/>
      <c r="F205" s="58">
        <f>ROUND(F204/F196,3)</f>
        <v>1.2999999999999999E-2</v>
      </c>
      <c r="G205" s="59">
        <f>ROUND(G204/G196,3)</f>
        <v>8.3000000000000004E-2</v>
      </c>
      <c r="H205" s="59">
        <f>ROUND(H204/H196,3)</f>
        <v>1.9E-2</v>
      </c>
      <c r="I205" s="60">
        <f>ROUND(I204/I196,3)</f>
        <v>4.0000000000000001E-3</v>
      </c>
      <c r="J205" s="422"/>
      <c r="K205" s="417"/>
      <c r="L205" s="417"/>
      <c r="M205" s="417"/>
      <c r="N205" s="78"/>
      <c r="O205" s="78"/>
      <c r="P205" s="78"/>
      <c r="Q205" s="78"/>
      <c r="R205" s="51"/>
      <c r="S205" s="51"/>
      <c r="T205" s="46"/>
      <c r="U205" s="47"/>
      <c r="V205" s="46"/>
      <c r="W205" s="2"/>
    </row>
    <row r="206" spans="2:23" x14ac:dyDescent="0.15">
      <c r="D206" s="103"/>
      <c r="E206" s="509" t="s">
        <v>83</v>
      </c>
      <c r="F206" s="54">
        <f>G206+H206+I206</f>
        <v>6</v>
      </c>
      <c r="G206" s="55">
        <v>3</v>
      </c>
      <c r="H206" s="55">
        <v>0</v>
      </c>
      <c r="I206" s="56">
        <v>3</v>
      </c>
      <c r="J206" s="102"/>
      <c r="K206" s="102"/>
      <c r="L206" s="102"/>
      <c r="M206" s="102"/>
      <c r="N206" s="102"/>
      <c r="O206" s="102"/>
      <c r="P206" s="102"/>
      <c r="Q206" s="102"/>
      <c r="T206" s="2"/>
      <c r="U206" s="13"/>
      <c r="V206" s="2"/>
      <c r="W206" s="2"/>
    </row>
    <row r="207" spans="2:23" x14ac:dyDescent="0.15">
      <c r="D207" s="103"/>
      <c r="E207" s="509"/>
      <c r="F207" s="58">
        <f>ROUND(F206/F196,3)</f>
        <v>1.9E-2</v>
      </c>
      <c r="G207" s="59">
        <f>ROUND(G206/G196,3)</f>
        <v>0.125</v>
      </c>
      <c r="H207" s="59">
        <f>ROUND(H206/H196,3)</f>
        <v>0</v>
      </c>
      <c r="I207" s="60">
        <f>ROUND(I206/I196,3)</f>
        <v>1.2E-2</v>
      </c>
      <c r="J207" s="104"/>
      <c r="K207" s="104"/>
      <c r="L207" s="104"/>
      <c r="M207" s="104"/>
      <c r="N207" s="104"/>
      <c r="O207" s="104"/>
      <c r="P207" s="104"/>
      <c r="Q207" s="104"/>
      <c r="R207" s="72"/>
      <c r="S207" s="72"/>
      <c r="T207" s="2"/>
      <c r="U207" s="13"/>
      <c r="V207" s="2"/>
      <c r="W207" s="2"/>
    </row>
    <row r="208" spans="2:23" x14ac:dyDescent="0.15">
      <c r="D208" s="103"/>
      <c r="E208" s="509" t="s">
        <v>84</v>
      </c>
      <c r="F208" s="54">
        <f>G208+H208+I208</f>
        <v>1</v>
      </c>
      <c r="G208" s="55">
        <v>0</v>
      </c>
      <c r="H208" s="55">
        <v>1</v>
      </c>
      <c r="I208" s="56">
        <v>0</v>
      </c>
      <c r="J208" s="78"/>
      <c r="K208" s="78"/>
      <c r="L208" s="78"/>
      <c r="M208" s="78"/>
      <c r="N208" s="78"/>
      <c r="O208" s="78"/>
      <c r="P208" s="78"/>
      <c r="Q208" s="78"/>
      <c r="R208" s="72"/>
      <c r="S208" s="72"/>
      <c r="T208" s="2"/>
      <c r="U208" s="13"/>
      <c r="V208" s="2"/>
      <c r="W208" s="2"/>
    </row>
    <row r="209" spans="1:40" x14ac:dyDescent="0.15">
      <c r="D209" s="103"/>
      <c r="E209" s="509"/>
      <c r="F209" s="58">
        <f>ROUND(F208/F196,3)</f>
        <v>3.0000000000000001E-3</v>
      </c>
      <c r="G209" s="59">
        <f>ROUND(G208/G196,3)</f>
        <v>0</v>
      </c>
      <c r="H209" s="59">
        <f>ROUND(H208/H196,3)</f>
        <v>1.9E-2</v>
      </c>
      <c r="I209" s="60">
        <f>ROUND(I208/I196,3)</f>
        <v>0</v>
      </c>
      <c r="J209" s="72"/>
      <c r="K209" s="90"/>
      <c r="L209" s="72"/>
      <c r="N209" s="72"/>
      <c r="O209" s="90"/>
      <c r="P209" s="72"/>
    </row>
    <row r="210" spans="1:40" x14ac:dyDescent="0.15">
      <c r="B210" s="10"/>
      <c r="D210" s="103"/>
      <c r="E210" s="510" t="s">
        <v>85</v>
      </c>
      <c r="F210" s="54">
        <f>G210+H210+I210</f>
        <v>1</v>
      </c>
      <c r="G210" s="55">
        <v>1</v>
      </c>
      <c r="H210" s="55">
        <v>0</v>
      </c>
      <c r="I210" s="56">
        <v>0</v>
      </c>
      <c r="K210" s="52"/>
      <c r="O210" s="52"/>
    </row>
    <row r="211" spans="1:40" x14ac:dyDescent="0.15">
      <c r="A211" s="105"/>
      <c r="B211" s="52"/>
      <c r="C211" s="52"/>
      <c r="D211" s="103"/>
      <c r="E211" s="511"/>
      <c r="F211" s="58">
        <f>ROUND(F210/F196,3)</f>
        <v>3.0000000000000001E-3</v>
      </c>
      <c r="G211" s="59">
        <f>ROUND(G210/G196,3)</f>
        <v>4.2000000000000003E-2</v>
      </c>
      <c r="H211" s="59">
        <f>ROUND(H210/H196,3)</f>
        <v>0</v>
      </c>
      <c r="I211" s="60">
        <f>ROUND(I210/I196,3)</f>
        <v>0</v>
      </c>
      <c r="J211" s="422"/>
      <c r="K211" s="422"/>
      <c r="L211" s="422"/>
      <c r="M211" s="422"/>
      <c r="N211" s="105"/>
      <c r="O211" s="105"/>
      <c r="P211" s="105"/>
      <c r="Q211" s="105"/>
      <c r="R211" s="1"/>
      <c r="S211" s="1"/>
      <c r="AF211" s="5"/>
      <c r="AN211" s="1"/>
    </row>
    <row r="212" spans="1:40" ht="13.5" customHeight="1" x14ac:dyDescent="0.15">
      <c r="A212" s="105"/>
      <c r="B212" s="52"/>
      <c r="C212" s="52"/>
      <c r="D212" s="103"/>
      <c r="E212" s="512" t="s">
        <v>88</v>
      </c>
      <c r="F212" s="54">
        <f t="shared" ref="F212" si="50">G212+H212+I212</f>
        <v>5</v>
      </c>
      <c r="G212" s="55">
        <v>3</v>
      </c>
      <c r="H212" s="55">
        <v>0</v>
      </c>
      <c r="I212" s="56">
        <v>2</v>
      </c>
      <c r="J212" s="100"/>
      <c r="K212" s="101"/>
      <c r="L212" s="101"/>
      <c r="M212" s="101"/>
      <c r="N212" s="105"/>
      <c r="O212" s="105"/>
      <c r="P212" s="105"/>
      <c r="Q212" s="105"/>
      <c r="R212" s="1"/>
      <c r="S212" s="1"/>
      <c r="AF212" s="5"/>
      <c r="AN212" s="1"/>
    </row>
    <row r="213" spans="1:40" x14ac:dyDescent="0.15">
      <c r="A213" s="105"/>
      <c r="B213" s="52"/>
      <c r="C213" s="52"/>
      <c r="D213" s="103"/>
      <c r="E213" s="513"/>
      <c r="F213" s="58">
        <f>ROUND(F212/F196,3)</f>
        <v>1.6E-2</v>
      </c>
      <c r="G213" s="59">
        <f>ROUND(G212/(G$251+G$253+G$255+G$257+G$259+G$261),3)</f>
        <v>4.4999999999999998E-2</v>
      </c>
      <c r="H213" s="59">
        <f>ROUND(H212/H196,3)</f>
        <v>0</v>
      </c>
      <c r="I213" s="60">
        <f>ROUND(I212/I196,3)</f>
        <v>8.0000000000000002E-3</v>
      </c>
      <c r="J213" s="102"/>
      <c r="K213" s="102"/>
      <c r="L213" s="102"/>
      <c r="M213" s="102"/>
      <c r="N213" s="105"/>
      <c r="O213" s="105"/>
      <c r="P213" s="105"/>
      <c r="Q213" s="105"/>
      <c r="R213" s="1"/>
      <c r="S213" s="1"/>
      <c r="AF213" s="5"/>
      <c r="AN213" s="1"/>
    </row>
    <row r="214" spans="1:40" x14ac:dyDescent="0.15">
      <c r="A214" s="105"/>
      <c r="B214" s="52"/>
      <c r="C214" s="52"/>
      <c r="D214" s="103"/>
      <c r="E214" s="509" t="s">
        <v>89</v>
      </c>
      <c r="F214" s="54">
        <f t="shared" ref="F214" si="51">G214+H214+I214</f>
        <v>0</v>
      </c>
      <c r="G214" s="55">
        <v>0</v>
      </c>
      <c r="H214" s="55">
        <v>0</v>
      </c>
      <c r="I214" s="56">
        <v>0</v>
      </c>
      <c r="J214" s="78"/>
      <c r="K214" s="78"/>
      <c r="L214" s="78"/>
      <c r="M214" s="78"/>
      <c r="N214" s="105"/>
      <c r="O214" s="105"/>
      <c r="P214" s="105"/>
      <c r="Q214" s="105"/>
      <c r="R214" s="1"/>
      <c r="S214" s="1"/>
      <c r="AF214" s="5"/>
      <c r="AN214" s="1"/>
    </row>
    <row r="215" spans="1:40" x14ac:dyDescent="0.15">
      <c r="A215" s="105"/>
      <c r="B215" s="52"/>
      <c r="C215" s="52"/>
      <c r="D215" s="103"/>
      <c r="E215" s="439"/>
      <c r="F215" s="58">
        <f>ROUND(F214/F196,3)</f>
        <v>0</v>
      </c>
      <c r="G215" s="59">
        <f>ROUND(G214/G196,3)</f>
        <v>0</v>
      </c>
      <c r="H215" s="59">
        <f>ROUND(H214/H196,3)</f>
        <v>0</v>
      </c>
      <c r="I215" s="60">
        <f>ROUND(I214/I196,3)</f>
        <v>0</v>
      </c>
      <c r="J215" s="102"/>
      <c r="K215" s="102"/>
      <c r="L215" s="102"/>
      <c r="M215" s="102"/>
      <c r="N215" s="105"/>
      <c r="O215" s="105"/>
      <c r="P215" s="105"/>
      <c r="Q215" s="105"/>
      <c r="R215" s="1"/>
      <c r="S215" s="1"/>
      <c r="AF215" s="5"/>
      <c r="AN215" s="1"/>
    </row>
    <row r="216" spans="1:40" x14ac:dyDescent="0.15">
      <c r="A216" s="105"/>
      <c r="B216" s="52"/>
      <c r="C216" s="52"/>
      <c r="D216" s="449" t="s">
        <v>9</v>
      </c>
      <c r="E216" s="426"/>
      <c r="F216" s="54">
        <f>G216+H216+I216</f>
        <v>283</v>
      </c>
      <c r="G216" s="55">
        <v>41</v>
      </c>
      <c r="H216" s="55">
        <v>70</v>
      </c>
      <c r="I216" s="56">
        <v>172</v>
      </c>
      <c r="J216" s="78"/>
      <c r="K216" s="78"/>
      <c r="L216" s="78"/>
      <c r="M216" s="78"/>
      <c r="N216" s="105"/>
      <c r="O216" s="105"/>
      <c r="P216" s="105"/>
      <c r="Q216" s="105"/>
      <c r="R216" s="1"/>
      <c r="S216" s="1"/>
      <c r="AF216" s="5"/>
      <c r="AN216" s="1"/>
    </row>
    <row r="217" spans="1:40" x14ac:dyDescent="0.15">
      <c r="A217" s="105"/>
      <c r="B217" s="52"/>
      <c r="C217" s="52"/>
      <c r="D217" s="449"/>
      <c r="E217" s="426"/>
      <c r="F217" s="58">
        <f>ROUND(F216/(F$196+F$216),3)</f>
        <v>0.47099999999999997</v>
      </c>
      <c r="G217" s="59">
        <f>ROUND(G216/(G$196+G$216),3)</f>
        <v>0.63100000000000001</v>
      </c>
      <c r="H217" s="59">
        <f>ROUND(H216/(H$196+H$216),3)</f>
        <v>0.56899999999999995</v>
      </c>
      <c r="I217" s="60">
        <f>ROUND(I216/(I$196+I$216),3)</f>
        <v>0.41599999999999998</v>
      </c>
      <c r="J217" s="102"/>
      <c r="K217" s="102"/>
      <c r="L217" s="102"/>
      <c r="M217" s="102"/>
      <c r="N217" s="105"/>
      <c r="O217" s="105"/>
      <c r="P217" s="105"/>
      <c r="Q217" s="105"/>
      <c r="R217" s="1"/>
      <c r="S217" s="1"/>
      <c r="AF217" s="5"/>
      <c r="AN217" s="1"/>
    </row>
    <row r="218" spans="1:40" x14ac:dyDescent="0.15">
      <c r="A218" s="105"/>
      <c r="B218" s="52"/>
      <c r="C218" s="52"/>
      <c r="D218" s="449" t="s">
        <v>53</v>
      </c>
      <c r="E218" s="426"/>
      <c r="F218" s="54">
        <f t="shared" ref="F218:I219" si="52">F196+F216</f>
        <v>601</v>
      </c>
      <c r="G218" s="55">
        <f t="shared" si="52"/>
        <v>65</v>
      </c>
      <c r="H218" s="55">
        <f t="shared" si="52"/>
        <v>123</v>
      </c>
      <c r="I218" s="56">
        <f t="shared" si="52"/>
        <v>413</v>
      </c>
      <c r="J218" s="78"/>
      <c r="K218" s="78"/>
      <c r="L218" s="78"/>
      <c r="M218" s="78"/>
      <c r="N218" s="105"/>
      <c r="O218" s="105"/>
      <c r="P218" s="105"/>
      <c r="Q218" s="105"/>
      <c r="R218" s="1"/>
      <c r="S218" s="1"/>
      <c r="AF218" s="5"/>
      <c r="AN218" s="1"/>
    </row>
    <row r="219" spans="1:40" ht="14.25" thickBot="1" x14ac:dyDescent="0.2">
      <c r="A219" s="105"/>
      <c r="B219" s="52"/>
      <c r="C219" s="52"/>
      <c r="D219" s="449"/>
      <c r="E219" s="426"/>
      <c r="F219" s="65">
        <f t="shared" si="52"/>
        <v>1</v>
      </c>
      <c r="G219" s="66">
        <f t="shared" si="52"/>
        <v>1</v>
      </c>
      <c r="H219" s="66">
        <f t="shared" si="52"/>
        <v>1</v>
      </c>
      <c r="I219" s="67">
        <f t="shared" si="52"/>
        <v>1</v>
      </c>
      <c r="J219" s="102"/>
      <c r="K219" s="102"/>
      <c r="L219" s="102"/>
      <c r="M219" s="102"/>
      <c r="N219" s="105"/>
      <c r="O219" s="105"/>
      <c r="P219" s="105"/>
      <c r="Q219" s="105"/>
      <c r="R219" s="1"/>
      <c r="S219" s="1"/>
      <c r="AF219" s="5"/>
      <c r="AN219" s="1"/>
    </row>
    <row r="220" spans="1:40" x14ac:dyDescent="0.15">
      <c r="A220" s="105"/>
      <c r="B220" s="52"/>
      <c r="C220" s="52"/>
      <c r="D220" s="48"/>
      <c r="E220" s="48"/>
      <c r="F220" s="48"/>
      <c r="G220" s="48"/>
      <c r="H220" s="48"/>
      <c r="I220" s="48"/>
      <c r="J220" s="78"/>
      <c r="K220" s="78"/>
      <c r="L220" s="78"/>
      <c r="M220" s="78"/>
      <c r="N220" s="105"/>
      <c r="O220" s="105"/>
      <c r="P220" s="105"/>
      <c r="Q220" s="105"/>
      <c r="R220" s="1"/>
      <c r="S220" s="1"/>
      <c r="AF220" s="5"/>
      <c r="AN220" s="1"/>
    </row>
    <row r="221" spans="1:40" x14ac:dyDescent="0.15">
      <c r="A221" s="105"/>
      <c r="B221" s="52"/>
      <c r="C221" s="52"/>
      <c r="D221" s="508"/>
      <c r="E221" s="508"/>
      <c r="F221" s="102"/>
      <c r="G221" s="102"/>
      <c r="H221" s="102"/>
      <c r="I221" s="102"/>
      <c r="J221" s="102"/>
      <c r="K221" s="102"/>
      <c r="L221" s="102"/>
      <c r="M221" s="102"/>
      <c r="N221" s="105"/>
      <c r="O221" s="105"/>
      <c r="P221" s="105"/>
      <c r="Q221" s="105"/>
      <c r="R221" s="1"/>
      <c r="S221" s="1"/>
      <c r="AF221" s="5"/>
      <c r="AN221" s="1"/>
    </row>
    <row r="222" spans="1:40" x14ac:dyDescent="0.15">
      <c r="A222" s="105"/>
      <c r="B222" s="52"/>
      <c r="C222" s="52"/>
      <c r="D222" s="508"/>
      <c r="E222" s="508"/>
      <c r="F222" s="78"/>
      <c r="G222" s="78"/>
      <c r="H222" s="78"/>
      <c r="I222" s="78"/>
      <c r="J222" s="78"/>
      <c r="K222" s="78"/>
      <c r="L222" s="78"/>
      <c r="M222" s="78"/>
      <c r="N222" s="105"/>
      <c r="O222" s="105"/>
      <c r="P222" s="105"/>
      <c r="Q222" s="105"/>
      <c r="R222" s="1"/>
      <c r="S222" s="1"/>
      <c r="AF222" s="5"/>
      <c r="AN222" s="1"/>
    </row>
    <row r="223" spans="1:40" x14ac:dyDescent="0.15">
      <c r="A223" s="105"/>
      <c r="B223" s="52"/>
      <c r="C223" s="52"/>
      <c r="D223" s="422"/>
      <c r="E223" s="422"/>
      <c r="F223" s="102"/>
      <c r="G223" s="102"/>
      <c r="H223" s="102"/>
      <c r="I223" s="102"/>
      <c r="J223" s="102"/>
      <c r="K223" s="102"/>
      <c r="L223" s="102"/>
      <c r="M223" s="102"/>
      <c r="N223" s="105"/>
      <c r="O223" s="105"/>
      <c r="P223" s="105"/>
      <c r="Q223" s="105"/>
      <c r="R223" s="1"/>
      <c r="S223" s="1"/>
      <c r="AF223" s="5"/>
      <c r="AN223" s="1"/>
    </row>
    <row r="224" spans="1:40" x14ac:dyDescent="0.15">
      <c r="A224" s="105"/>
      <c r="B224" s="52"/>
      <c r="C224" s="52"/>
      <c r="D224" s="422"/>
      <c r="E224" s="422"/>
      <c r="F224" s="104"/>
      <c r="G224" s="104"/>
      <c r="H224" s="104"/>
      <c r="I224" s="104"/>
      <c r="J224" s="104"/>
      <c r="K224" s="104"/>
      <c r="L224" s="104"/>
      <c r="M224" s="104"/>
      <c r="N224" s="105"/>
      <c r="O224" s="105"/>
      <c r="P224" s="105"/>
      <c r="Q224" s="105"/>
      <c r="R224" s="1"/>
      <c r="S224" s="1"/>
      <c r="AF224" s="5"/>
      <c r="AN224" s="1"/>
    </row>
    <row r="225" spans="1:40" x14ac:dyDescent="0.15">
      <c r="A225" s="105"/>
      <c r="B225" s="52"/>
      <c r="C225" s="52"/>
      <c r="D225" s="100"/>
      <c r="E225" s="100"/>
      <c r="F225" s="78"/>
      <c r="G225" s="78"/>
      <c r="H225" s="78"/>
      <c r="I225" s="78"/>
      <c r="J225" s="78"/>
      <c r="K225" s="78"/>
      <c r="L225" s="78"/>
      <c r="M225" s="78"/>
      <c r="N225" s="105"/>
      <c r="O225" s="105"/>
      <c r="P225" s="105"/>
      <c r="Q225" s="105"/>
      <c r="R225" s="1"/>
      <c r="S225" s="1"/>
      <c r="AF225" s="5"/>
      <c r="AN225" s="1"/>
    </row>
    <row r="226" spans="1:40" x14ac:dyDescent="0.15">
      <c r="A226" s="105"/>
      <c r="B226" s="52"/>
      <c r="C226" s="52"/>
      <c r="D226" s="100"/>
      <c r="E226" s="100"/>
      <c r="F226" s="90"/>
      <c r="G226" s="90"/>
      <c r="H226" s="90"/>
      <c r="I226" s="90"/>
      <c r="J226" s="78"/>
      <c r="K226" s="78"/>
      <c r="L226" s="78"/>
      <c r="M226" s="78"/>
      <c r="N226" s="78"/>
      <c r="O226" s="78"/>
      <c r="P226" s="78"/>
      <c r="Q226" s="78"/>
      <c r="R226" s="72"/>
      <c r="S226" s="72"/>
      <c r="T226" s="46"/>
      <c r="U226" s="47"/>
      <c r="V226" s="46"/>
      <c r="W226" s="2"/>
    </row>
    <row r="227" spans="1:40" x14ac:dyDescent="0.15">
      <c r="A227" s="105"/>
      <c r="B227" s="106"/>
      <c r="C227" s="52"/>
      <c r="D227" s="52"/>
      <c r="E227" s="52"/>
      <c r="F227" s="52"/>
      <c r="G227" s="109"/>
      <c r="H227" s="52"/>
      <c r="I227" s="52"/>
      <c r="J227" s="52"/>
      <c r="K227" s="52"/>
      <c r="L227" s="52"/>
      <c r="M227" s="52"/>
      <c r="N227" s="52"/>
      <c r="O227" s="52"/>
      <c r="P227" s="52"/>
      <c r="Q227" s="52"/>
    </row>
    <row r="228" spans="1:40" x14ac:dyDescent="0.15">
      <c r="A228" s="105"/>
      <c r="B228" s="52"/>
      <c r="C228" s="52"/>
      <c r="D228" s="422"/>
      <c r="E228" s="422"/>
      <c r="F228" s="422"/>
      <c r="G228" s="422"/>
      <c r="H228" s="422"/>
      <c r="I228" s="422"/>
      <c r="J228" s="422"/>
      <c r="K228" s="422"/>
      <c r="L228" s="422"/>
      <c r="M228" s="422"/>
      <c r="N228" s="422"/>
      <c r="O228" s="422"/>
      <c r="P228" s="422"/>
      <c r="Q228" s="422"/>
      <c r="R228" s="12"/>
      <c r="S228" s="12"/>
      <c r="T228" s="2"/>
      <c r="U228" s="13"/>
      <c r="V228" s="2"/>
      <c r="W228" s="2"/>
    </row>
    <row r="229" spans="1:40" x14ac:dyDescent="0.15">
      <c r="A229" s="105"/>
      <c r="B229" s="52"/>
      <c r="C229" s="52"/>
      <c r="D229" s="422"/>
      <c r="E229" s="422"/>
      <c r="F229" s="100"/>
      <c r="G229" s="101"/>
      <c r="H229" s="101"/>
      <c r="I229" s="101"/>
      <c r="J229" s="100"/>
      <c r="K229" s="101"/>
      <c r="L229" s="101"/>
      <c r="M229" s="101"/>
      <c r="N229" s="100"/>
      <c r="O229" s="101"/>
      <c r="P229" s="101"/>
      <c r="Q229" s="101"/>
      <c r="R229" s="20"/>
      <c r="S229" s="20"/>
      <c r="T229" s="2"/>
      <c r="U229" s="13"/>
      <c r="V229" s="2"/>
      <c r="W229" s="2"/>
    </row>
    <row r="230" spans="1:40" x14ac:dyDescent="0.15">
      <c r="A230" s="105"/>
      <c r="B230" s="52"/>
      <c r="C230" s="52"/>
      <c r="D230" s="473"/>
      <c r="E230" s="473"/>
      <c r="F230" s="102"/>
      <c r="G230" s="102"/>
      <c r="H230" s="102"/>
      <c r="I230" s="102"/>
      <c r="J230" s="102"/>
      <c r="K230" s="102"/>
      <c r="L230" s="102"/>
      <c r="M230" s="102"/>
      <c r="N230" s="102"/>
      <c r="O230" s="102"/>
      <c r="P230" s="102"/>
      <c r="Q230" s="102"/>
      <c r="T230" s="2"/>
      <c r="U230" s="13"/>
      <c r="V230" s="2"/>
      <c r="W230" s="2"/>
    </row>
    <row r="231" spans="1:40" x14ac:dyDescent="0.15">
      <c r="A231" s="105"/>
      <c r="B231" s="52"/>
      <c r="C231" s="52"/>
      <c r="D231" s="473"/>
      <c r="E231" s="473"/>
      <c r="F231" s="78"/>
      <c r="G231" s="78"/>
      <c r="H231" s="78"/>
      <c r="I231" s="78"/>
      <c r="J231" s="78"/>
      <c r="K231" s="78"/>
      <c r="L231" s="78"/>
      <c r="M231" s="78"/>
      <c r="N231" s="78"/>
      <c r="O231" s="78"/>
      <c r="P231" s="78"/>
      <c r="Q231" s="78"/>
      <c r="R231" s="51"/>
      <c r="S231" s="51"/>
      <c r="T231" s="2"/>
      <c r="U231" s="13"/>
      <c r="V231" s="2"/>
      <c r="W231" s="2"/>
    </row>
    <row r="232" spans="1:40" x14ac:dyDescent="0.15">
      <c r="A232" s="105"/>
      <c r="B232" s="52"/>
      <c r="C232" s="52"/>
      <c r="D232" s="473"/>
      <c r="E232" s="473"/>
      <c r="F232" s="102"/>
      <c r="G232" s="102"/>
      <c r="H232" s="102"/>
      <c r="I232" s="102"/>
      <c r="J232" s="102"/>
      <c r="K232" s="102"/>
      <c r="L232" s="102"/>
      <c r="M232" s="102"/>
      <c r="N232" s="102"/>
      <c r="O232" s="102"/>
      <c r="P232" s="102"/>
      <c r="Q232" s="102"/>
      <c r="T232" s="2"/>
      <c r="U232" s="13"/>
      <c r="V232" s="2"/>
      <c r="W232" s="2"/>
    </row>
    <row r="233" spans="1:40" x14ac:dyDescent="0.15">
      <c r="A233" s="105"/>
      <c r="B233" s="52"/>
      <c r="C233" s="52"/>
      <c r="D233" s="473"/>
      <c r="E233" s="473"/>
      <c r="F233" s="78"/>
      <c r="G233" s="78"/>
      <c r="H233" s="78"/>
      <c r="I233" s="78"/>
      <c r="J233" s="78"/>
      <c r="K233" s="78"/>
      <c r="L233" s="78"/>
      <c r="M233" s="78"/>
      <c r="N233" s="78"/>
      <c r="O233" s="78"/>
      <c r="P233" s="78"/>
      <c r="Q233" s="78"/>
      <c r="R233" s="51"/>
      <c r="S233" s="51"/>
      <c r="T233" s="2"/>
      <c r="U233" s="13"/>
      <c r="V233" s="2"/>
      <c r="W233" s="2"/>
    </row>
    <row r="234" spans="1:40" x14ac:dyDescent="0.15">
      <c r="A234" s="105"/>
      <c r="B234" s="52"/>
      <c r="C234" s="52"/>
      <c r="D234" s="473"/>
      <c r="E234" s="473"/>
      <c r="F234" s="422"/>
      <c r="G234" s="417"/>
      <c r="H234" s="417"/>
      <c r="I234" s="417"/>
      <c r="J234" s="422"/>
      <c r="K234" s="417"/>
      <c r="L234" s="417"/>
      <c r="M234" s="417"/>
      <c r="N234" s="102"/>
      <c r="O234" s="102"/>
      <c r="P234" s="102"/>
      <c r="Q234" s="102"/>
      <c r="T234" s="2"/>
      <c r="U234" s="13"/>
      <c r="V234" s="2"/>
      <c r="W234" s="2"/>
    </row>
    <row r="235" spans="1:40" x14ac:dyDescent="0.15">
      <c r="A235" s="105"/>
      <c r="B235" s="52"/>
      <c r="C235" s="52"/>
      <c r="D235" s="473"/>
      <c r="E235" s="473"/>
      <c r="F235" s="422"/>
      <c r="G235" s="417"/>
      <c r="H235" s="417"/>
      <c r="I235" s="417"/>
      <c r="J235" s="422"/>
      <c r="K235" s="417"/>
      <c r="L235" s="417"/>
      <c r="M235" s="417"/>
      <c r="N235" s="78"/>
      <c r="O235" s="78"/>
      <c r="P235" s="78"/>
      <c r="Q235" s="78"/>
      <c r="R235" s="51"/>
      <c r="S235" s="51"/>
      <c r="T235" s="2"/>
      <c r="U235" s="13"/>
      <c r="V235" s="2"/>
      <c r="W235" s="2"/>
    </row>
    <row r="236" spans="1:40" x14ac:dyDescent="0.15">
      <c r="A236" s="105"/>
      <c r="B236" s="52"/>
      <c r="C236" s="52"/>
      <c r="D236" s="422"/>
      <c r="E236" s="422"/>
      <c r="F236" s="102"/>
      <c r="G236" s="102"/>
      <c r="H236" s="102"/>
      <c r="I236" s="102"/>
      <c r="J236" s="102"/>
      <c r="K236" s="102"/>
      <c r="L236" s="102"/>
      <c r="M236" s="102"/>
      <c r="N236" s="52"/>
      <c r="O236" s="52"/>
      <c r="P236" s="52"/>
      <c r="Q236" s="52"/>
      <c r="T236" s="2"/>
      <c r="U236" s="13"/>
      <c r="V236" s="2"/>
      <c r="W236" s="2"/>
    </row>
    <row r="237" spans="1:40" x14ac:dyDescent="0.15">
      <c r="A237" s="105"/>
      <c r="B237" s="52"/>
      <c r="C237" s="52"/>
      <c r="D237" s="422"/>
      <c r="E237" s="422"/>
      <c r="F237" s="104"/>
      <c r="G237" s="104"/>
      <c r="H237" s="104"/>
      <c r="I237" s="104"/>
      <c r="J237" s="104"/>
      <c r="K237" s="104"/>
      <c r="L237" s="104"/>
      <c r="M237" s="104"/>
      <c r="N237" s="104"/>
      <c r="O237" s="104"/>
      <c r="P237" s="104"/>
      <c r="Q237" s="104"/>
      <c r="R237" s="72"/>
      <c r="S237" s="72"/>
      <c r="T237" s="46"/>
      <c r="U237" s="47"/>
      <c r="V237" s="46"/>
      <c r="W237" s="2"/>
    </row>
    <row r="238" spans="1:40" x14ac:dyDescent="0.15">
      <c r="A238" s="105"/>
      <c r="B238" s="52"/>
      <c r="C238" s="52"/>
      <c r="D238" s="100"/>
      <c r="E238" s="100"/>
      <c r="F238" s="78"/>
      <c r="G238" s="78"/>
      <c r="H238" s="78"/>
      <c r="I238" s="78"/>
      <c r="J238" s="78"/>
      <c r="K238" s="78"/>
      <c r="L238" s="78"/>
      <c r="M238" s="78"/>
      <c r="N238" s="78"/>
      <c r="O238" s="78"/>
      <c r="P238" s="78"/>
      <c r="Q238" s="78"/>
      <c r="R238" s="72"/>
      <c r="S238" s="72"/>
      <c r="T238" s="46"/>
      <c r="U238" s="47"/>
      <c r="V238" s="46"/>
      <c r="W238" s="2"/>
    </row>
    <row r="239" spans="1:40" x14ac:dyDescent="0.15">
      <c r="A239" s="105"/>
      <c r="B239" s="52"/>
      <c r="C239" s="52"/>
      <c r="D239" s="100"/>
      <c r="E239" s="100"/>
      <c r="F239" s="90"/>
      <c r="G239" s="90"/>
      <c r="H239" s="90"/>
      <c r="I239" s="90"/>
      <c r="J239" s="78"/>
      <c r="K239" s="78"/>
      <c r="L239" s="78"/>
      <c r="M239" s="78"/>
      <c r="N239" s="78"/>
      <c r="O239" s="78"/>
      <c r="P239" s="78"/>
      <c r="Q239" s="78"/>
      <c r="R239" s="72"/>
      <c r="S239" s="72"/>
      <c r="T239" s="46"/>
      <c r="U239" s="47"/>
      <c r="V239" s="46"/>
      <c r="W239" s="2"/>
    </row>
    <row r="240" spans="1:40" x14ac:dyDescent="0.15">
      <c r="A240" s="105"/>
      <c r="B240" s="106"/>
      <c r="C240" s="52"/>
      <c r="D240" s="52"/>
      <c r="E240" s="52"/>
      <c r="F240" s="52"/>
      <c r="G240" s="109"/>
      <c r="H240" s="52"/>
      <c r="I240" s="52"/>
      <c r="J240" s="52"/>
      <c r="K240" s="52"/>
      <c r="L240" s="52"/>
      <c r="M240" s="52"/>
      <c r="N240" s="52"/>
      <c r="O240" s="52"/>
      <c r="P240" s="52"/>
      <c r="Q240" s="52"/>
    </row>
    <row r="241" spans="1:40" x14ac:dyDescent="0.15">
      <c r="A241" s="105"/>
      <c r="B241" s="52"/>
      <c r="C241" s="52"/>
      <c r="D241" s="422"/>
      <c r="E241" s="422"/>
      <c r="F241" s="422"/>
      <c r="G241" s="422"/>
      <c r="H241" s="422"/>
      <c r="I241" s="422"/>
      <c r="J241" s="422"/>
      <c r="K241" s="422"/>
      <c r="L241" s="422"/>
      <c r="M241" s="422"/>
      <c r="N241" s="105"/>
      <c r="O241" s="105"/>
      <c r="P241" s="105"/>
      <c r="Q241" s="105"/>
      <c r="R241" s="1"/>
      <c r="S241" s="1"/>
      <c r="AF241" s="5"/>
      <c r="AN241" s="1"/>
    </row>
    <row r="242" spans="1:40" x14ac:dyDescent="0.15">
      <c r="A242" s="105"/>
      <c r="B242" s="52"/>
      <c r="C242" s="52"/>
      <c r="D242" s="422"/>
      <c r="E242" s="422"/>
      <c r="F242" s="100"/>
      <c r="G242" s="101"/>
      <c r="H242" s="101"/>
      <c r="I242" s="101"/>
      <c r="J242" s="100"/>
      <c r="K242" s="101"/>
      <c r="L242" s="101"/>
      <c r="M242" s="101"/>
      <c r="N242" s="105"/>
      <c r="O242" s="105"/>
      <c r="P242" s="105"/>
      <c r="Q242" s="105"/>
      <c r="R242" s="1"/>
      <c r="S242" s="1"/>
      <c r="AF242" s="5"/>
      <c r="AN242" s="1"/>
    </row>
    <row r="243" spans="1:40" x14ac:dyDescent="0.15">
      <c r="A243" s="105"/>
      <c r="B243" s="52"/>
      <c r="C243" s="52"/>
      <c r="D243" s="473"/>
      <c r="E243" s="473"/>
      <c r="F243" s="102"/>
      <c r="G243" s="102"/>
      <c r="H243" s="102"/>
      <c r="I243" s="102"/>
      <c r="J243" s="102"/>
      <c r="K243" s="102"/>
      <c r="L243" s="102"/>
      <c r="M243" s="102"/>
      <c r="N243" s="105"/>
      <c r="O243" s="105"/>
      <c r="P243" s="105"/>
      <c r="Q243" s="105"/>
      <c r="R243" s="1"/>
      <c r="S243" s="1"/>
      <c r="AF243" s="5"/>
      <c r="AN243" s="1"/>
    </row>
    <row r="244" spans="1:40" x14ac:dyDescent="0.15">
      <c r="A244" s="105"/>
      <c r="B244" s="52"/>
      <c r="C244" s="52"/>
      <c r="D244" s="473"/>
      <c r="E244" s="473"/>
      <c r="F244" s="78"/>
      <c r="G244" s="78"/>
      <c r="H244" s="78"/>
      <c r="I244" s="78"/>
      <c r="J244" s="78"/>
      <c r="K244" s="78"/>
      <c r="L244" s="78"/>
      <c r="M244" s="78"/>
      <c r="N244" s="105"/>
      <c r="O244" s="105"/>
      <c r="P244" s="105"/>
      <c r="Q244" s="105"/>
      <c r="R244" s="1"/>
      <c r="S244" s="1"/>
      <c r="AF244" s="5"/>
      <c r="AN244" s="1"/>
    </row>
    <row r="245" spans="1:40" x14ac:dyDescent="0.15">
      <c r="A245" s="105"/>
      <c r="B245" s="52"/>
      <c r="C245" s="52"/>
      <c r="D245" s="473"/>
      <c r="E245" s="473"/>
      <c r="F245" s="102"/>
      <c r="G245" s="102"/>
      <c r="H245" s="102"/>
      <c r="I245" s="102"/>
      <c r="J245" s="102"/>
      <c r="K245" s="102"/>
      <c r="L245" s="102"/>
      <c r="M245" s="102"/>
      <c r="N245" s="105"/>
      <c r="O245" s="105"/>
      <c r="P245" s="105"/>
      <c r="Q245" s="105"/>
      <c r="R245" s="1"/>
      <c r="S245" s="1"/>
      <c r="AF245" s="5"/>
      <c r="AN245" s="1"/>
    </row>
    <row r="246" spans="1:40" x14ac:dyDescent="0.15">
      <c r="A246" s="105"/>
      <c r="B246" s="52"/>
      <c r="C246" s="52"/>
      <c r="D246" s="473"/>
      <c r="E246" s="473"/>
      <c r="F246" s="78"/>
      <c r="G246" s="78"/>
      <c r="H246" s="78"/>
      <c r="I246" s="78"/>
      <c r="J246" s="78"/>
      <c r="K246" s="78"/>
      <c r="L246" s="78"/>
      <c r="M246" s="78"/>
      <c r="N246" s="105"/>
      <c r="O246" s="105"/>
      <c r="P246" s="105"/>
      <c r="Q246" s="105"/>
      <c r="R246" s="1"/>
      <c r="S246" s="1"/>
      <c r="AF246" s="5"/>
      <c r="AN246" s="1"/>
    </row>
    <row r="247" spans="1:40" x14ac:dyDescent="0.15">
      <c r="A247" s="105"/>
      <c r="B247" s="52"/>
      <c r="C247" s="52"/>
      <c r="D247" s="422"/>
      <c r="E247" s="422"/>
      <c r="F247" s="102"/>
      <c r="G247" s="102"/>
      <c r="H247" s="102"/>
      <c r="I247" s="102"/>
      <c r="J247" s="102"/>
      <c r="K247" s="102"/>
      <c r="L247" s="102"/>
      <c r="M247" s="102"/>
      <c r="N247" s="105"/>
      <c r="O247" s="105"/>
      <c r="P247" s="105"/>
      <c r="Q247" s="105"/>
      <c r="R247" s="1"/>
      <c r="S247" s="1"/>
      <c r="AF247" s="5"/>
      <c r="AN247" s="1"/>
    </row>
    <row r="248" spans="1:40" ht="14.25" thickBot="1" x14ac:dyDescent="0.2">
      <c r="B248" s="10" t="s">
        <v>91</v>
      </c>
      <c r="G248" s="11"/>
      <c r="K248" s="52"/>
      <c r="O248" s="52"/>
    </row>
    <row r="249" spans="1:40" x14ac:dyDescent="0.15">
      <c r="D249" s="91"/>
      <c r="E249" s="92"/>
      <c r="F249" s="444" t="s">
        <v>26</v>
      </c>
      <c r="G249" s="384"/>
      <c r="H249" s="384"/>
      <c r="I249" s="385"/>
      <c r="J249" s="467" t="s">
        <v>27</v>
      </c>
      <c r="K249" s="386"/>
      <c r="L249" s="386"/>
      <c r="M249" s="387"/>
      <c r="N249" s="399" t="s">
        <v>28</v>
      </c>
      <c r="O249" s="386"/>
      <c r="P249" s="386"/>
      <c r="Q249" s="387"/>
      <c r="R249" s="12"/>
      <c r="S249" s="12"/>
      <c r="T249" s="2"/>
      <c r="U249" s="13"/>
      <c r="V249" s="2"/>
      <c r="W249" s="2"/>
    </row>
    <row r="250" spans="1:40" x14ac:dyDescent="0.15">
      <c r="D250" s="93"/>
      <c r="E250" s="94"/>
      <c r="F250" s="371"/>
      <c r="G250" s="364" t="s">
        <v>29</v>
      </c>
      <c r="H250" s="364" t="s">
        <v>30</v>
      </c>
      <c r="I250" s="374" t="s">
        <v>31</v>
      </c>
      <c r="J250" s="14"/>
      <c r="K250" s="15" t="s">
        <v>29</v>
      </c>
      <c r="L250" s="15" t="s">
        <v>30</v>
      </c>
      <c r="M250" s="375" t="s">
        <v>31</v>
      </c>
      <c r="N250" s="372"/>
      <c r="O250" s="364" t="s">
        <v>29</v>
      </c>
      <c r="P250" s="364" t="s">
        <v>30</v>
      </c>
      <c r="Q250" s="375" t="s">
        <v>31</v>
      </c>
      <c r="R250" s="20"/>
      <c r="S250" s="20"/>
      <c r="T250" s="2"/>
      <c r="U250" s="13"/>
      <c r="V250" s="2"/>
      <c r="W250" s="2"/>
    </row>
    <row r="251" spans="1:40" ht="13.5" customHeight="1" x14ac:dyDescent="0.15">
      <c r="D251" s="439" t="s">
        <v>92</v>
      </c>
      <c r="E251" s="474"/>
      <c r="F251" s="54">
        <f>G251+H251+I251</f>
        <v>59</v>
      </c>
      <c r="G251" s="55">
        <v>19</v>
      </c>
      <c r="H251" s="55">
        <v>0</v>
      </c>
      <c r="I251" s="56">
        <v>40</v>
      </c>
      <c r="J251" s="54">
        <f>K251+L251+M251</f>
        <v>64</v>
      </c>
      <c r="K251" s="55">
        <v>15</v>
      </c>
      <c r="L251" s="55">
        <v>0</v>
      </c>
      <c r="M251" s="55">
        <v>49</v>
      </c>
      <c r="N251" s="55">
        <f>O251+P251+Q251</f>
        <v>82</v>
      </c>
      <c r="O251" s="55">
        <v>13</v>
      </c>
      <c r="P251" s="55">
        <v>0</v>
      </c>
      <c r="Q251" s="55">
        <v>69</v>
      </c>
      <c r="T251" s="2"/>
      <c r="U251" s="13"/>
      <c r="V251" s="2"/>
      <c r="W251" s="2"/>
    </row>
    <row r="252" spans="1:40" x14ac:dyDescent="0.15">
      <c r="D252" s="441"/>
      <c r="E252" s="475"/>
      <c r="F252" s="58">
        <f t="shared" ref="F252:Q252" si="53">ROUND(F251/(F$251+F$253+F$255+F$257+F$259+F$261),3)</f>
        <v>9.5000000000000001E-2</v>
      </c>
      <c r="G252" s="59">
        <f t="shared" si="53"/>
        <v>0.28799999999999998</v>
      </c>
      <c r="H252" s="59">
        <f t="shared" si="53"/>
        <v>0</v>
      </c>
      <c r="I252" s="60">
        <f t="shared" si="53"/>
        <v>9.2999999999999999E-2</v>
      </c>
      <c r="J252" s="58">
        <f t="shared" si="53"/>
        <v>9.6000000000000002E-2</v>
      </c>
      <c r="K252" s="59">
        <f t="shared" si="53"/>
        <v>0.25</v>
      </c>
      <c r="L252" s="59">
        <f t="shared" si="53"/>
        <v>0</v>
      </c>
      <c r="M252" s="59">
        <f t="shared" si="53"/>
        <v>0.11700000000000001</v>
      </c>
      <c r="N252" s="59">
        <f t="shared" si="53"/>
        <v>0.11700000000000001</v>
      </c>
      <c r="O252" s="59">
        <f t="shared" si="53"/>
        <v>0.17299999999999999</v>
      </c>
      <c r="P252" s="59">
        <f t="shared" si="53"/>
        <v>0</v>
      </c>
      <c r="Q252" s="59">
        <f t="shared" si="53"/>
        <v>0.16700000000000001</v>
      </c>
      <c r="R252" s="51"/>
      <c r="S252" s="51"/>
      <c r="T252" s="2"/>
      <c r="U252" s="13"/>
      <c r="V252" s="2"/>
      <c r="W252" s="2"/>
    </row>
    <row r="253" spans="1:40" ht="13.5" customHeight="1" x14ac:dyDescent="0.15">
      <c r="D253" s="439" t="s">
        <v>93</v>
      </c>
      <c r="E253" s="474"/>
      <c r="F253" s="54">
        <f>G253+H253+I253</f>
        <v>183</v>
      </c>
      <c r="G253" s="55">
        <v>16</v>
      </c>
      <c r="H253" s="55">
        <v>44</v>
      </c>
      <c r="I253" s="56">
        <v>123</v>
      </c>
      <c r="J253" s="54">
        <f>K253+L253+M253</f>
        <v>207</v>
      </c>
      <c r="K253" s="55">
        <v>9</v>
      </c>
      <c r="L253" s="55">
        <v>74</v>
      </c>
      <c r="M253" s="55">
        <v>124</v>
      </c>
      <c r="N253" s="55">
        <f>O253+P253+Q253</f>
        <v>240</v>
      </c>
      <c r="O253" s="55">
        <v>23</v>
      </c>
      <c r="P253" s="55">
        <v>103</v>
      </c>
      <c r="Q253" s="55">
        <v>114</v>
      </c>
      <c r="T253" s="2"/>
      <c r="U253" s="13"/>
      <c r="V253" s="2"/>
      <c r="W253" s="2"/>
    </row>
    <row r="254" spans="1:40" x14ac:dyDescent="0.15">
      <c r="D254" s="441"/>
      <c r="E254" s="475"/>
      <c r="F254" s="58">
        <f t="shared" ref="F254:Q254" si="54">ROUND(F253/(F$251+F$253+F$255+F$257+F$259+F$261),3)</f>
        <v>0.29499999999999998</v>
      </c>
      <c r="G254" s="59">
        <f t="shared" si="54"/>
        <v>0.24199999999999999</v>
      </c>
      <c r="H254" s="59">
        <f t="shared" si="54"/>
        <v>0.34599999999999997</v>
      </c>
      <c r="I254" s="60">
        <f t="shared" si="54"/>
        <v>0.28699999999999998</v>
      </c>
      <c r="J254" s="58">
        <f t="shared" si="54"/>
        <v>0.312</v>
      </c>
      <c r="K254" s="59">
        <f t="shared" si="54"/>
        <v>0.15</v>
      </c>
      <c r="L254" s="59">
        <f t="shared" si="54"/>
        <v>0.40200000000000002</v>
      </c>
      <c r="M254" s="59">
        <f t="shared" si="54"/>
        <v>0.29499999999999998</v>
      </c>
      <c r="N254" s="59">
        <f t="shared" si="54"/>
        <v>0.34200000000000003</v>
      </c>
      <c r="O254" s="59">
        <f t="shared" si="54"/>
        <v>0.307</v>
      </c>
      <c r="P254" s="59">
        <f t="shared" si="54"/>
        <v>0.48099999999999998</v>
      </c>
      <c r="Q254" s="59">
        <f t="shared" si="54"/>
        <v>0.27600000000000002</v>
      </c>
      <c r="R254" s="51"/>
      <c r="S254" s="51"/>
      <c r="T254" s="2"/>
      <c r="U254" s="13"/>
      <c r="V254" s="2"/>
      <c r="W254" s="2"/>
    </row>
    <row r="255" spans="1:40" ht="13.5" customHeight="1" x14ac:dyDescent="0.15">
      <c r="D255" s="439" t="s">
        <v>94</v>
      </c>
      <c r="E255" s="474"/>
      <c r="F255" s="54">
        <f>G255+H255+I255</f>
        <v>157</v>
      </c>
      <c r="G255" s="55">
        <v>11</v>
      </c>
      <c r="H255" s="55">
        <v>83</v>
      </c>
      <c r="I255" s="56">
        <v>63</v>
      </c>
      <c r="J255" s="54">
        <f>K255+L255+M255</f>
        <v>177</v>
      </c>
      <c r="K255" s="55">
        <v>13</v>
      </c>
      <c r="L255" s="55">
        <v>110</v>
      </c>
      <c r="M255" s="55">
        <v>54</v>
      </c>
      <c r="N255" s="55">
        <f>O255+P255+Q255</f>
        <v>187</v>
      </c>
      <c r="O255" s="55">
        <v>13</v>
      </c>
      <c r="P255" s="55">
        <v>111</v>
      </c>
      <c r="Q255" s="55">
        <v>63</v>
      </c>
      <c r="T255" s="2"/>
      <c r="U255" s="13"/>
      <c r="V255" s="2"/>
      <c r="W255" s="2"/>
    </row>
    <row r="256" spans="1:40" x14ac:dyDescent="0.15">
      <c r="D256" s="441"/>
      <c r="E256" s="475"/>
      <c r="F256" s="58">
        <f t="shared" ref="F256:Q256" si="55">ROUND(F255/(F$251+F$253+F$255+F$257+F$259+F$261),3)</f>
        <v>0.253</v>
      </c>
      <c r="G256" s="59">
        <f t="shared" si="55"/>
        <v>0.16700000000000001</v>
      </c>
      <c r="H256" s="59">
        <f t="shared" si="55"/>
        <v>0.65400000000000003</v>
      </c>
      <c r="I256" s="60">
        <f t="shared" si="55"/>
        <v>0.14699999999999999</v>
      </c>
      <c r="J256" s="58">
        <f t="shared" si="55"/>
        <v>0.26700000000000002</v>
      </c>
      <c r="K256" s="59">
        <f t="shared" si="55"/>
        <v>0.217</v>
      </c>
      <c r="L256" s="59">
        <f t="shared" si="55"/>
        <v>0.59799999999999998</v>
      </c>
      <c r="M256" s="59">
        <f t="shared" si="55"/>
        <v>0.129</v>
      </c>
      <c r="N256" s="59">
        <f t="shared" si="55"/>
        <v>0.26600000000000001</v>
      </c>
      <c r="O256" s="59">
        <f t="shared" si="55"/>
        <v>0.17299999999999999</v>
      </c>
      <c r="P256" s="59">
        <f t="shared" si="55"/>
        <v>0.51900000000000002</v>
      </c>
      <c r="Q256" s="59">
        <f t="shared" si="55"/>
        <v>0.153</v>
      </c>
      <c r="R256" s="51"/>
      <c r="S256" s="51"/>
      <c r="T256" s="2"/>
      <c r="U256" s="13"/>
      <c r="V256" s="2"/>
      <c r="W256" s="2"/>
    </row>
    <row r="257" spans="2:40" ht="13.5" customHeight="1" x14ac:dyDescent="0.15">
      <c r="D257" s="439" t="s">
        <v>95</v>
      </c>
      <c r="E257" s="474"/>
      <c r="F257" s="54">
        <f>G257+H257+I257</f>
        <v>69</v>
      </c>
      <c r="G257" s="55">
        <v>3</v>
      </c>
      <c r="H257" s="55">
        <v>0</v>
      </c>
      <c r="I257" s="56">
        <v>66</v>
      </c>
      <c r="J257" s="54">
        <f>K257+L257+M257</f>
        <v>82</v>
      </c>
      <c r="K257" s="55">
        <v>2</v>
      </c>
      <c r="L257" s="55">
        <v>0</v>
      </c>
      <c r="M257" s="55">
        <v>80</v>
      </c>
      <c r="N257" s="55">
        <f>O257+P257+Q257</f>
        <v>68</v>
      </c>
      <c r="O257" s="55">
        <v>4</v>
      </c>
      <c r="P257" s="55">
        <v>0</v>
      </c>
      <c r="Q257" s="55">
        <v>64</v>
      </c>
      <c r="T257" s="2"/>
      <c r="U257" s="13"/>
      <c r="V257" s="2"/>
      <c r="W257" s="2"/>
    </row>
    <row r="258" spans="2:40" x14ac:dyDescent="0.15">
      <c r="D258" s="441"/>
      <c r="E258" s="475"/>
      <c r="F258" s="58">
        <f t="shared" ref="F258:Q258" si="56">ROUND(F257/(F$251+F$253+F$255+F$257+F$259+F$261),3)</f>
        <v>0.111</v>
      </c>
      <c r="G258" s="59">
        <f t="shared" si="56"/>
        <v>4.4999999999999998E-2</v>
      </c>
      <c r="H258" s="59">
        <f t="shared" si="56"/>
        <v>0</v>
      </c>
      <c r="I258" s="60">
        <f t="shared" si="56"/>
        <v>0.154</v>
      </c>
      <c r="J258" s="58">
        <f t="shared" si="56"/>
        <v>0.123</v>
      </c>
      <c r="K258" s="59">
        <f t="shared" si="56"/>
        <v>3.3000000000000002E-2</v>
      </c>
      <c r="L258" s="59">
        <f t="shared" si="56"/>
        <v>0</v>
      </c>
      <c r="M258" s="59">
        <f t="shared" si="56"/>
        <v>0.19</v>
      </c>
      <c r="N258" s="59">
        <f t="shared" si="56"/>
        <v>9.7000000000000003E-2</v>
      </c>
      <c r="O258" s="59">
        <f t="shared" si="56"/>
        <v>5.2999999999999999E-2</v>
      </c>
      <c r="P258" s="59">
        <f t="shared" si="56"/>
        <v>0</v>
      </c>
      <c r="Q258" s="59">
        <f t="shared" si="56"/>
        <v>0.155</v>
      </c>
      <c r="R258" s="51"/>
      <c r="S258" s="51"/>
      <c r="T258" s="2"/>
      <c r="U258" s="13"/>
      <c r="V258" s="2"/>
      <c r="W258" s="2"/>
    </row>
    <row r="259" spans="2:40" ht="13.5" customHeight="1" x14ac:dyDescent="0.15">
      <c r="D259" s="439" t="s">
        <v>96</v>
      </c>
      <c r="E259" s="474"/>
      <c r="F259" s="54">
        <f>G259+H259+I259</f>
        <v>94</v>
      </c>
      <c r="G259" s="55">
        <v>11</v>
      </c>
      <c r="H259" s="55">
        <v>0</v>
      </c>
      <c r="I259" s="56">
        <v>83</v>
      </c>
      <c r="J259" s="54">
        <f>K259+L259+M259</f>
        <v>89</v>
      </c>
      <c r="K259" s="55">
        <v>15</v>
      </c>
      <c r="L259" s="55">
        <v>0</v>
      </c>
      <c r="M259" s="55">
        <v>74</v>
      </c>
      <c r="N259" s="55">
        <f>O259+P259+Q259</f>
        <v>84</v>
      </c>
      <c r="O259" s="55">
        <v>12</v>
      </c>
      <c r="P259" s="55">
        <v>0</v>
      </c>
      <c r="Q259" s="55">
        <v>72</v>
      </c>
      <c r="T259" s="2"/>
      <c r="U259" s="13"/>
      <c r="V259" s="2"/>
      <c r="W259" s="2"/>
    </row>
    <row r="260" spans="2:40" x14ac:dyDescent="0.15">
      <c r="D260" s="441"/>
      <c r="E260" s="475"/>
      <c r="F260" s="58">
        <f t="shared" ref="F260:Q260" si="57">ROUND(F259/(F$251+F$253+F$255+F$257+F$259+F$261),3)</f>
        <v>0.151</v>
      </c>
      <c r="G260" s="59">
        <f t="shared" si="57"/>
        <v>0.16700000000000001</v>
      </c>
      <c r="H260" s="59">
        <f t="shared" si="57"/>
        <v>0</v>
      </c>
      <c r="I260" s="60">
        <f t="shared" si="57"/>
        <v>0.19400000000000001</v>
      </c>
      <c r="J260" s="58">
        <f t="shared" si="57"/>
        <v>0.13400000000000001</v>
      </c>
      <c r="K260" s="59">
        <f t="shared" si="57"/>
        <v>0.25</v>
      </c>
      <c r="L260" s="59">
        <f t="shared" si="57"/>
        <v>0</v>
      </c>
      <c r="M260" s="59">
        <f t="shared" si="57"/>
        <v>0.17599999999999999</v>
      </c>
      <c r="N260" s="59">
        <f t="shared" si="57"/>
        <v>0.12</v>
      </c>
      <c r="O260" s="59">
        <f t="shared" si="57"/>
        <v>0.16</v>
      </c>
      <c r="P260" s="59">
        <f t="shared" si="57"/>
        <v>0</v>
      </c>
      <c r="Q260" s="59">
        <f t="shared" si="57"/>
        <v>0.17399999999999999</v>
      </c>
      <c r="R260" s="51"/>
      <c r="S260" s="51"/>
      <c r="T260" s="2"/>
      <c r="U260" s="13"/>
      <c r="V260" s="2"/>
      <c r="W260" s="2"/>
    </row>
    <row r="261" spans="2:40" ht="13.5" customHeight="1" x14ac:dyDescent="0.15">
      <c r="D261" s="439" t="s">
        <v>97</v>
      </c>
      <c r="E261" s="474"/>
      <c r="F261" s="54">
        <f>G261+H261+I261</f>
        <v>59</v>
      </c>
      <c r="G261" s="55">
        <v>6</v>
      </c>
      <c r="H261" s="55">
        <v>0</v>
      </c>
      <c r="I261" s="56">
        <v>53</v>
      </c>
      <c r="J261" s="54">
        <f>K261+L261+M261</f>
        <v>45</v>
      </c>
      <c r="K261" s="55">
        <v>6</v>
      </c>
      <c r="L261" s="55">
        <v>0</v>
      </c>
      <c r="M261" s="55">
        <v>39</v>
      </c>
      <c r="N261" s="55">
        <f>O261+P261+Q261</f>
        <v>41</v>
      </c>
      <c r="O261" s="55">
        <v>10</v>
      </c>
      <c r="P261" s="55">
        <v>0</v>
      </c>
      <c r="Q261" s="55">
        <v>31</v>
      </c>
      <c r="T261" s="2"/>
      <c r="U261" s="13"/>
      <c r="V261" s="2"/>
      <c r="W261" s="2"/>
    </row>
    <row r="262" spans="2:40" x14ac:dyDescent="0.15">
      <c r="D262" s="441"/>
      <c r="E262" s="475"/>
      <c r="F262" s="58">
        <f t="shared" ref="F262:N262" si="58">ROUND(F261/(F$251+F$253+F$255+F$257+F$259+F$261),3)</f>
        <v>9.5000000000000001E-2</v>
      </c>
      <c r="G262" s="59">
        <f t="shared" si="58"/>
        <v>9.0999999999999998E-2</v>
      </c>
      <c r="H262" s="59">
        <f t="shared" si="58"/>
        <v>0</v>
      </c>
      <c r="I262" s="60">
        <f t="shared" si="58"/>
        <v>0.124</v>
      </c>
      <c r="J262" s="58">
        <f t="shared" si="58"/>
        <v>6.8000000000000005E-2</v>
      </c>
      <c r="K262" s="59">
        <f t="shared" si="58"/>
        <v>0.1</v>
      </c>
      <c r="L262" s="59">
        <f t="shared" si="58"/>
        <v>0</v>
      </c>
      <c r="M262" s="59">
        <f t="shared" si="58"/>
        <v>9.2999999999999999E-2</v>
      </c>
      <c r="N262" s="59">
        <f t="shared" si="58"/>
        <v>5.8000000000000003E-2</v>
      </c>
      <c r="O262" s="59">
        <f>ROUND(O261/(O$251+O$253+O$255+O$257+O$259+O$261),3)+0.001</f>
        <v>0.13400000000000001</v>
      </c>
      <c r="P262" s="59">
        <f>ROUND(P261/(P$251+P$253+P$255+P$257+P$259+P$261),3)</f>
        <v>0</v>
      </c>
      <c r="Q262" s="59">
        <f>ROUND(Q261/(Q$251+Q$253+Q$255+Q$257+Q$259+Q$261),3)</f>
        <v>7.4999999999999997E-2</v>
      </c>
      <c r="R262" s="51"/>
      <c r="S262" s="51"/>
      <c r="T262" s="2"/>
      <c r="U262" s="13"/>
      <c r="V262" s="2"/>
      <c r="W262" s="2"/>
    </row>
    <row r="263" spans="2:40" x14ac:dyDescent="0.15">
      <c r="D263" s="399" t="s">
        <v>53</v>
      </c>
      <c r="E263" s="453"/>
      <c r="F263" s="54">
        <f t="shared" ref="F263:Q263" si="59">F251+F253+F255+F257+F259+F261</f>
        <v>621</v>
      </c>
      <c r="G263" s="55">
        <f t="shared" si="59"/>
        <v>66</v>
      </c>
      <c r="H263" s="55">
        <f t="shared" si="59"/>
        <v>127</v>
      </c>
      <c r="I263" s="56">
        <f t="shared" si="59"/>
        <v>428</v>
      </c>
      <c r="J263" s="54">
        <f t="shared" si="59"/>
        <v>664</v>
      </c>
      <c r="K263" s="55">
        <f t="shared" si="59"/>
        <v>60</v>
      </c>
      <c r="L263" s="55">
        <f t="shared" si="59"/>
        <v>184</v>
      </c>
      <c r="M263" s="55">
        <f t="shared" si="59"/>
        <v>420</v>
      </c>
      <c r="N263" s="88">
        <f t="shared" si="59"/>
        <v>702</v>
      </c>
      <c r="O263" s="80">
        <f t="shared" si="59"/>
        <v>75</v>
      </c>
      <c r="P263" s="87">
        <f t="shared" si="59"/>
        <v>214</v>
      </c>
      <c r="Q263" s="80">
        <f t="shared" si="59"/>
        <v>413</v>
      </c>
      <c r="T263" s="2"/>
      <c r="U263" s="13"/>
      <c r="V263" s="2"/>
      <c r="W263" s="2"/>
    </row>
    <row r="264" spans="2:40" ht="14.25" thickBot="1" x14ac:dyDescent="0.2">
      <c r="D264" s="400"/>
      <c r="E264" s="454"/>
      <c r="F264" s="65">
        <f t="shared" ref="F264:Q264" si="60">F252+F254+F256+F258+F260+F262</f>
        <v>1</v>
      </c>
      <c r="G264" s="66">
        <f t="shared" si="60"/>
        <v>1.0000000000000002</v>
      </c>
      <c r="H264" s="66">
        <f t="shared" si="60"/>
        <v>1</v>
      </c>
      <c r="I264" s="67">
        <f t="shared" si="60"/>
        <v>0.999</v>
      </c>
      <c r="J264" s="68">
        <f t="shared" si="60"/>
        <v>1</v>
      </c>
      <c r="K264" s="69">
        <f t="shared" si="60"/>
        <v>1</v>
      </c>
      <c r="L264" s="69">
        <f t="shared" si="60"/>
        <v>1</v>
      </c>
      <c r="M264" s="69">
        <f t="shared" si="60"/>
        <v>0.99999999999999978</v>
      </c>
      <c r="N264" s="89">
        <f t="shared" si="60"/>
        <v>1</v>
      </c>
      <c r="O264" s="69">
        <f t="shared" si="60"/>
        <v>1</v>
      </c>
      <c r="P264" s="71">
        <f t="shared" si="60"/>
        <v>1</v>
      </c>
      <c r="Q264" s="69">
        <f t="shared" si="60"/>
        <v>1</v>
      </c>
      <c r="R264" s="72"/>
      <c r="S264" s="72"/>
      <c r="T264" s="46"/>
      <c r="U264" s="47"/>
      <c r="V264" s="46"/>
      <c r="W264" s="2"/>
    </row>
    <row r="265" spans="2:40" x14ac:dyDescent="0.15">
      <c r="F265" s="72"/>
      <c r="G265" s="72"/>
      <c r="H265" s="72"/>
      <c r="I265" s="72"/>
      <c r="J265" s="72"/>
      <c r="K265" s="90"/>
      <c r="L265" s="72"/>
      <c r="N265" s="72"/>
      <c r="O265" s="90"/>
      <c r="P265" s="72"/>
    </row>
    <row r="266" spans="2:40" x14ac:dyDescent="0.15">
      <c r="F266" s="72"/>
      <c r="G266" s="72"/>
      <c r="H266" s="72"/>
      <c r="I266" s="72"/>
      <c r="J266" s="72"/>
      <c r="K266" s="90"/>
      <c r="L266" s="72"/>
      <c r="N266" s="72"/>
      <c r="O266" s="90"/>
      <c r="P266" s="72"/>
    </row>
    <row r="267" spans="2:40" ht="14.25" thickBot="1" x14ac:dyDescent="0.2">
      <c r="B267" s="10" t="s">
        <v>98</v>
      </c>
      <c r="F267" s="108"/>
      <c r="K267" s="52"/>
      <c r="O267" s="52"/>
    </row>
    <row r="268" spans="2:40" x14ac:dyDescent="0.15">
      <c r="D268" s="91"/>
      <c r="E268" s="92"/>
      <c r="F268" s="444" t="s">
        <v>26</v>
      </c>
      <c r="G268" s="384"/>
      <c r="H268" s="384"/>
      <c r="I268" s="385"/>
      <c r="J268" s="386" t="s">
        <v>27</v>
      </c>
      <c r="K268" s="386"/>
      <c r="L268" s="386"/>
      <c r="M268" s="387"/>
      <c r="N268" s="399" t="s">
        <v>28</v>
      </c>
      <c r="O268" s="386"/>
      <c r="P268" s="386"/>
      <c r="Q268" s="387"/>
      <c r="R268" s="1"/>
      <c r="S268" s="1"/>
      <c r="U268" s="1"/>
      <c r="Y268" s="4"/>
      <c r="AJ268" s="5"/>
      <c r="AN268" s="1"/>
    </row>
    <row r="269" spans="2:40" x14ac:dyDescent="0.15">
      <c r="D269" s="93"/>
      <c r="E269" s="94"/>
      <c r="F269" s="367"/>
      <c r="G269" s="364" t="s">
        <v>29</v>
      </c>
      <c r="H269" s="364" t="s">
        <v>30</v>
      </c>
      <c r="I269" s="374" t="s">
        <v>31</v>
      </c>
      <c r="J269" s="19"/>
      <c r="K269" s="15" t="s">
        <v>29</v>
      </c>
      <c r="L269" s="15" t="s">
        <v>30</v>
      </c>
      <c r="M269" s="375" t="s">
        <v>31</v>
      </c>
      <c r="N269" s="372"/>
      <c r="O269" s="364" t="s">
        <v>29</v>
      </c>
      <c r="P269" s="364" t="s">
        <v>30</v>
      </c>
      <c r="Q269" s="375" t="s">
        <v>31</v>
      </c>
      <c r="R269" s="1"/>
      <c r="S269" s="1"/>
      <c r="U269" s="1"/>
      <c r="Y269" s="4"/>
      <c r="AJ269" s="5"/>
      <c r="AN269" s="1"/>
    </row>
    <row r="270" spans="2:40" ht="13.5" customHeight="1" x14ac:dyDescent="0.15">
      <c r="D270" s="487" t="s">
        <v>99</v>
      </c>
      <c r="E270" s="492"/>
      <c r="F270" s="54">
        <f>G270+H270+I270</f>
        <v>479</v>
      </c>
      <c r="G270" s="55">
        <v>47</v>
      </c>
      <c r="H270" s="55">
        <v>79</v>
      </c>
      <c r="I270" s="56">
        <v>353</v>
      </c>
      <c r="J270" s="57">
        <f>K270+L270+M270</f>
        <v>610</v>
      </c>
      <c r="K270" s="55">
        <v>43</v>
      </c>
      <c r="L270" s="55">
        <v>174</v>
      </c>
      <c r="M270" s="55">
        <v>393</v>
      </c>
      <c r="N270" s="55">
        <f>O270+P270+Q270</f>
        <v>629</v>
      </c>
      <c r="O270" s="55">
        <v>54</v>
      </c>
      <c r="P270" s="55">
        <v>197</v>
      </c>
      <c r="Q270" s="55">
        <v>378</v>
      </c>
      <c r="R270" s="1"/>
      <c r="S270" s="1"/>
      <c r="U270" s="1"/>
      <c r="Y270" s="4"/>
      <c r="AJ270" s="5"/>
      <c r="AN270" s="1"/>
    </row>
    <row r="271" spans="2:40" x14ac:dyDescent="0.15">
      <c r="D271" s="494"/>
      <c r="E271" s="495"/>
      <c r="F271" s="58">
        <f t="shared" ref="F271:Q271" si="61">ROUND(F270/(F$270+F$272+F$274),3)</f>
        <v>0.93200000000000005</v>
      </c>
      <c r="G271" s="59">
        <f t="shared" si="61"/>
        <v>0.81</v>
      </c>
      <c r="H271" s="59">
        <f t="shared" si="61"/>
        <v>0.97499999999999998</v>
      </c>
      <c r="I271" s="60">
        <f t="shared" si="61"/>
        <v>0.94099999999999995</v>
      </c>
      <c r="J271" s="61">
        <f t="shared" si="61"/>
        <v>0.91300000000000003</v>
      </c>
      <c r="K271" s="59">
        <f t="shared" si="61"/>
        <v>0.69399999999999995</v>
      </c>
      <c r="L271" s="59">
        <f t="shared" si="61"/>
        <v>0.95099999999999996</v>
      </c>
      <c r="M271" s="59">
        <f t="shared" si="61"/>
        <v>0.92900000000000005</v>
      </c>
      <c r="N271" s="59">
        <f t="shared" si="61"/>
        <v>0.89200000000000002</v>
      </c>
      <c r="O271" s="59">
        <f t="shared" si="61"/>
        <v>0.71099999999999997</v>
      </c>
      <c r="P271" s="59">
        <f t="shared" si="61"/>
        <v>0.91600000000000004</v>
      </c>
      <c r="Q271" s="59">
        <f t="shared" si="61"/>
        <v>0.91300000000000003</v>
      </c>
      <c r="R271" s="1"/>
      <c r="S271" s="1"/>
      <c r="U271" s="1"/>
      <c r="Y271" s="4"/>
      <c r="AJ271" s="5"/>
      <c r="AN271" s="1"/>
    </row>
    <row r="272" spans="2:40" ht="13.5" customHeight="1" x14ac:dyDescent="0.15">
      <c r="D272" s="487" t="s">
        <v>100</v>
      </c>
      <c r="E272" s="492"/>
      <c r="F272" s="54">
        <f>G272+H272+I272</f>
        <v>11</v>
      </c>
      <c r="G272" s="55">
        <v>2</v>
      </c>
      <c r="H272" s="55">
        <v>2</v>
      </c>
      <c r="I272" s="56">
        <v>7</v>
      </c>
      <c r="J272" s="57">
        <f>K272+L272+M272</f>
        <v>24</v>
      </c>
      <c r="K272" s="55">
        <v>3</v>
      </c>
      <c r="L272" s="55">
        <v>6</v>
      </c>
      <c r="M272" s="55">
        <v>15</v>
      </c>
      <c r="N272" s="55">
        <f>O272+P272+Q272</f>
        <v>25</v>
      </c>
      <c r="O272" s="55">
        <v>0</v>
      </c>
      <c r="P272" s="55">
        <v>13</v>
      </c>
      <c r="Q272" s="55">
        <v>12</v>
      </c>
      <c r="R272" s="1"/>
      <c r="S272" s="1"/>
      <c r="U272" s="1"/>
      <c r="Y272" s="4"/>
      <c r="AJ272" s="5"/>
      <c r="AN272" s="1"/>
    </row>
    <row r="273" spans="2:40" x14ac:dyDescent="0.15">
      <c r="D273" s="494"/>
      <c r="E273" s="495"/>
      <c r="F273" s="58">
        <f>ROUND(F272/(F$270+F$272+F$274),3)+0.001</f>
        <v>2.2000000000000002E-2</v>
      </c>
      <c r="G273" s="59">
        <f>ROUND(G272/(G$270+G$272+G$274),3)</f>
        <v>3.4000000000000002E-2</v>
      </c>
      <c r="H273" s="59">
        <f>ROUND(H272/(H$270+H$272+H$274),3)+0.001</f>
        <v>2.6000000000000002E-2</v>
      </c>
      <c r="I273" s="60">
        <f>ROUND(I272/(I$270+I$272+I$274),3)</f>
        <v>1.9E-2</v>
      </c>
      <c r="J273" s="61">
        <f>ROUND(J272/(J$270+J$272+J$274),3)+0.001</f>
        <v>3.6999999999999998E-2</v>
      </c>
      <c r="K273" s="59">
        <f>ROUND(K272/(K$270+K$272+K$274),3)</f>
        <v>4.8000000000000001E-2</v>
      </c>
      <c r="L273" s="59">
        <f>ROUND(L272/(L$270+L$272+L$274),3)+0.001</f>
        <v>3.4000000000000002E-2</v>
      </c>
      <c r="M273" s="59">
        <f>ROUND(M272/(M$270+M$272+M$274),3)</f>
        <v>3.5000000000000003E-2</v>
      </c>
      <c r="N273" s="59">
        <f>ROUND(N272/(N$270+N$272+N$274),3)+0.001</f>
        <v>3.6000000000000004E-2</v>
      </c>
      <c r="O273" s="59">
        <f>ROUND(O272/(O$270+O$272+O$274),3)</f>
        <v>0</v>
      </c>
      <c r="P273" s="59">
        <f>ROUND(P272/(P$270+P$272+P$274),3)+0.001</f>
        <v>6.0999999999999999E-2</v>
      </c>
      <c r="Q273" s="59">
        <f>ROUND(Q272/(Q$270+Q$272+Q$274),3)</f>
        <v>2.9000000000000001E-2</v>
      </c>
      <c r="R273" s="1"/>
      <c r="S273" s="1"/>
      <c r="U273" s="1"/>
      <c r="Y273" s="4"/>
      <c r="AJ273" s="5"/>
      <c r="AN273" s="1"/>
    </row>
    <row r="274" spans="2:40" ht="13.5" customHeight="1" x14ac:dyDescent="0.15">
      <c r="D274" s="439" t="s">
        <v>101</v>
      </c>
      <c r="E274" s="440"/>
      <c r="F274" s="54">
        <f>G274+H274+I274</f>
        <v>24</v>
      </c>
      <c r="G274" s="55">
        <v>9</v>
      </c>
      <c r="H274" s="55">
        <v>0</v>
      </c>
      <c r="I274" s="56">
        <v>15</v>
      </c>
      <c r="J274" s="57">
        <f>K274+L274+M274</f>
        <v>34</v>
      </c>
      <c r="K274" s="55">
        <v>16</v>
      </c>
      <c r="L274" s="55">
        <v>3</v>
      </c>
      <c r="M274" s="55">
        <v>15</v>
      </c>
      <c r="N274" s="55">
        <f>O274+P274+Q274</f>
        <v>51</v>
      </c>
      <c r="O274" s="55">
        <v>22</v>
      </c>
      <c r="P274" s="55">
        <v>5</v>
      </c>
      <c r="Q274" s="55">
        <v>24</v>
      </c>
      <c r="R274" s="1"/>
      <c r="S274" s="1"/>
      <c r="U274" s="1"/>
      <c r="Y274" s="4"/>
      <c r="AJ274" s="5"/>
      <c r="AN274" s="1"/>
    </row>
    <row r="275" spans="2:40" x14ac:dyDescent="0.15">
      <c r="D275" s="441"/>
      <c r="E275" s="442"/>
      <c r="F275" s="58">
        <f t="shared" ref="F275:Q275" si="62">ROUND(F274/(F$270+F$272+F$274),3)</f>
        <v>4.7E-2</v>
      </c>
      <c r="G275" s="59">
        <f t="shared" si="62"/>
        <v>0.155</v>
      </c>
      <c r="H275" s="59">
        <f t="shared" si="62"/>
        <v>0</v>
      </c>
      <c r="I275" s="60">
        <f t="shared" si="62"/>
        <v>0.04</v>
      </c>
      <c r="J275" s="61">
        <f t="shared" si="62"/>
        <v>5.0999999999999997E-2</v>
      </c>
      <c r="K275" s="59">
        <f t="shared" si="62"/>
        <v>0.25800000000000001</v>
      </c>
      <c r="L275" s="59">
        <f t="shared" si="62"/>
        <v>1.6E-2</v>
      </c>
      <c r="M275" s="59">
        <f t="shared" si="62"/>
        <v>3.5000000000000003E-2</v>
      </c>
      <c r="N275" s="59">
        <f t="shared" si="62"/>
        <v>7.1999999999999995E-2</v>
      </c>
      <c r="O275" s="59">
        <f t="shared" si="62"/>
        <v>0.28899999999999998</v>
      </c>
      <c r="P275" s="59">
        <f t="shared" si="62"/>
        <v>2.3E-2</v>
      </c>
      <c r="Q275" s="59">
        <f t="shared" si="62"/>
        <v>5.8000000000000003E-2</v>
      </c>
      <c r="R275" s="1"/>
      <c r="S275" s="1"/>
      <c r="U275" s="1"/>
      <c r="Y275" s="4"/>
      <c r="AJ275" s="5"/>
      <c r="AN275" s="1"/>
    </row>
    <row r="276" spans="2:40" x14ac:dyDescent="0.15">
      <c r="D276" s="399" t="s">
        <v>53</v>
      </c>
      <c r="E276" s="386"/>
      <c r="F276" s="54">
        <f t="shared" ref="F276:Q277" si="63">F270+F272+F274</f>
        <v>514</v>
      </c>
      <c r="G276" s="55">
        <f t="shared" si="63"/>
        <v>58</v>
      </c>
      <c r="H276" s="55">
        <f t="shared" si="63"/>
        <v>81</v>
      </c>
      <c r="I276" s="56">
        <f t="shared" si="63"/>
        <v>375</v>
      </c>
      <c r="J276" s="57">
        <f t="shared" si="63"/>
        <v>668</v>
      </c>
      <c r="K276" s="55">
        <f t="shared" si="63"/>
        <v>62</v>
      </c>
      <c r="L276" s="55">
        <f t="shared" si="63"/>
        <v>183</v>
      </c>
      <c r="M276" s="55">
        <f t="shared" si="63"/>
        <v>423</v>
      </c>
      <c r="N276" s="55">
        <f t="shared" si="63"/>
        <v>705</v>
      </c>
      <c r="O276" s="55">
        <f t="shared" si="63"/>
        <v>76</v>
      </c>
      <c r="P276" s="55">
        <f t="shared" si="63"/>
        <v>215</v>
      </c>
      <c r="Q276" s="55">
        <f t="shared" si="63"/>
        <v>414</v>
      </c>
      <c r="R276" s="1"/>
      <c r="S276" s="1"/>
      <c r="U276" s="1"/>
      <c r="Y276" s="4"/>
      <c r="AJ276" s="5"/>
      <c r="AN276" s="1"/>
    </row>
    <row r="277" spans="2:40" ht="14.25" thickBot="1" x14ac:dyDescent="0.2">
      <c r="D277" s="400"/>
      <c r="E277" s="443"/>
      <c r="F277" s="65">
        <f t="shared" si="63"/>
        <v>1.0010000000000001</v>
      </c>
      <c r="G277" s="66">
        <f t="shared" si="63"/>
        <v>0.99900000000000011</v>
      </c>
      <c r="H277" s="66">
        <f t="shared" si="63"/>
        <v>1.0009999999999999</v>
      </c>
      <c r="I277" s="67">
        <f t="shared" si="63"/>
        <v>1</v>
      </c>
      <c r="J277" s="70">
        <f t="shared" si="63"/>
        <v>1.0010000000000001</v>
      </c>
      <c r="K277" s="69">
        <f t="shared" si="63"/>
        <v>1</v>
      </c>
      <c r="L277" s="69">
        <f t="shared" si="63"/>
        <v>1.0009999999999999</v>
      </c>
      <c r="M277" s="69">
        <f t="shared" si="63"/>
        <v>0.99900000000000011</v>
      </c>
      <c r="N277" s="69">
        <f t="shared" si="63"/>
        <v>1</v>
      </c>
      <c r="O277" s="69">
        <f t="shared" si="63"/>
        <v>1</v>
      </c>
      <c r="P277" s="69">
        <f t="shared" si="63"/>
        <v>1</v>
      </c>
      <c r="Q277" s="69">
        <f t="shared" si="63"/>
        <v>1</v>
      </c>
      <c r="R277" s="1"/>
      <c r="S277" s="1"/>
      <c r="U277" s="1"/>
      <c r="Y277" s="4"/>
      <c r="AJ277" s="5"/>
      <c r="AN277" s="1"/>
    </row>
    <row r="278" spans="2:40" x14ac:dyDescent="0.15">
      <c r="D278" s="100"/>
      <c r="E278" s="100"/>
      <c r="F278" s="78"/>
      <c r="G278" s="78"/>
      <c r="H278" s="78"/>
      <c r="I278" s="78"/>
      <c r="J278" s="72"/>
      <c r="N278" s="1"/>
      <c r="O278" s="1"/>
      <c r="P278" s="1"/>
      <c r="Q278" s="1"/>
      <c r="R278" s="1"/>
      <c r="S278" s="1"/>
      <c r="AF278" s="5"/>
      <c r="AN278" s="1"/>
    </row>
    <row r="279" spans="2:40" x14ac:dyDescent="0.15">
      <c r="F279" s="72"/>
      <c r="G279" s="72"/>
      <c r="H279" s="72"/>
      <c r="I279" s="72"/>
      <c r="J279" s="72"/>
      <c r="K279" s="90"/>
      <c r="L279" s="72"/>
      <c r="N279" s="72"/>
      <c r="O279" s="90"/>
      <c r="P279" s="72"/>
    </row>
    <row r="280" spans="2:40" ht="14.25" thickBot="1" x14ac:dyDescent="0.2">
      <c r="B280" s="10" t="s">
        <v>102</v>
      </c>
      <c r="F280" s="108"/>
      <c r="K280" s="52"/>
      <c r="O280" s="52"/>
    </row>
    <row r="281" spans="2:40" x14ac:dyDescent="0.15">
      <c r="D281" s="91"/>
      <c r="E281" s="92"/>
      <c r="F281" s="444" t="s">
        <v>26</v>
      </c>
      <c r="G281" s="384"/>
      <c r="H281" s="384"/>
      <c r="I281" s="385"/>
      <c r="J281" s="467" t="s">
        <v>27</v>
      </c>
      <c r="K281" s="386"/>
      <c r="L281" s="386"/>
      <c r="M281" s="387"/>
      <c r="N281" s="399" t="s">
        <v>28</v>
      </c>
      <c r="O281" s="386"/>
      <c r="P281" s="386"/>
      <c r="Q281" s="387"/>
      <c r="R281" s="12"/>
      <c r="S281" s="12"/>
      <c r="T281" s="2"/>
      <c r="U281" s="13"/>
      <c r="V281" s="2"/>
      <c r="W281" s="2"/>
    </row>
    <row r="282" spans="2:40" x14ac:dyDescent="0.15">
      <c r="D282" s="93"/>
      <c r="E282" s="94"/>
      <c r="F282" s="371"/>
      <c r="G282" s="364" t="s">
        <v>29</v>
      </c>
      <c r="H282" s="364" t="s">
        <v>30</v>
      </c>
      <c r="I282" s="374" t="s">
        <v>31</v>
      </c>
      <c r="J282" s="14"/>
      <c r="K282" s="15" t="s">
        <v>29</v>
      </c>
      <c r="L282" s="15" t="s">
        <v>30</v>
      </c>
      <c r="M282" s="375" t="s">
        <v>31</v>
      </c>
      <c r="N282" s="372"/>
      <c r="O282" s="364" t="s">
        <v>29</v>
      </c>
      <c r="P282" s="364" t="s">
        <v>30</v>
      </c>
      <c r="Q282" s="375" t="s">
        <v>31</v>
      </c>
      <c r="R282" s="20"/>
      <c r="S282" s="20"/>
      <c r="T282" s="2"/>
      <c r="U282" s="13"/>
      <c r="V282" s="2"/>
      <c r="W282" s="2"/>
    </row>
    <row r="283" spans="2:40" ht="13.5" customHeight="1" x14ac:dyDescent="0.15">
      <c r="D283" s="439" t="s">
        <v>103</v>
      </c>
      <c r="E283" s="474"/>
      <c r="F283" s="54">
        <f>G283+H283+I283</f>
        <v>238</v>
      </c>
      <c r="G283" s="55">
        <v>21</v>
      </c>
      <c r="H283" s="55">
        <v>32</v>
      </c>
      <c r="I283" s="56">
        <v>185</v>
      </c>
      <c r="J283" s="54">
        <f>K283+L283+M283</f>
        <v>231</v>
      </c>
      <c r="K283" s="55">
        <v>16</v>
      </c>
      <c r="L283" s="55">
        <v>49</v>
      </c>
      <c r="M283" s="55">
        <v>166</v>
      </c>
      <c r="N283" s="55">
        <f>O283+P283+Q283</f>
        <v>255</v>
      </c>
      <c r="O283" s="55">
        <v>21</v>
      </c>
      <c r="P283" s="55">
        <v>49</v>
      </c>
      <c r="Q283" s="55">
        <v>185</v>
      </c>
      <c r="T283" s="2"/>
      <c r="U283" s="13"/>
      <c r="V283" s="2"/>
      <c r="W283" s="2"/>
    </row>
    <row r="284" spans="2:40" x14ac:dyDescent="0.15">
      <c r="D284" s="441"/>
      <c r="E284" s="475"/>
      <c r="F284" s="58">
        <f t="shared" ref="F284:Q284" si="64">ROUND(F283/(F$283+F$285+F$287+F$289),3)</f>
        <v>0.38100000000000001</v>
      </c>
      <c r="G284" s="59">
        <f t="shared" si="64"/>
        <v>0.318</v>
      </c>
      <c r="H284" s="59">
        <f t="shared" si="64"/>
        <v>0.25</v>
      </c>
      <c r="I284" s="60">
        <f t="shared" si="64"/>
        <v>0.43</v>
      </c>
      <c r="J284" s="58">
        <f t="shared" si="64"/>
        <v>0.34799999999999998</v>
      </c>
      <c r="K284" s="59">
        <f t="shared" si="64"/>
        <v>0.26700000000000002</v>
      </c>
      <c r="L284" s="59">
        <f t="shared" si="64"/>
        <v>0.26800000000000002</v>
      </c>
      <c r="M284" s="59">
        <f t="shared" si="64"/>
        <v>0.39400000000000002</v>
      </c>
      <c r="N284" s="59">
        <f t="shared" si="64"/>
        <v>0.36099999999999999</v>
      </c>
      <c r="O284" s="59">
        <f t="shared" si="64"/>
        <v>0.27600000000000002</v>
      </c>
      <c r="P284" s="59">
        <f t="shared" si="64"/>
        <v>0.22700000000000001</v>
      </c>
      <c r="Q284" s="59">
        <f t="shared" si="64"/>
        <v>0.44600000000000001</v>
      </c>
      <c r="R284" s="51"/>
      <c r="S284" s="51"/>
      <c r="T284" s="2"/>
      <c r="U284" s="13"/>
      <c r="V284" s="2"/>
      <c r="W284" s="2"/>
    </row>
    <row r="285" spans="2:40" ht="13.5" customHeight="1" x14ac:dyDescent="0.15">
      <c r="D285" s="439" t="s">
        <v>104</v>
      </c>
      <c r="E285" s="474"/>
      <c r="F285" s="54">
        <f>G285+H285+I285</f>
        <v>84</v>
      </c>
      <c r="G285" s="55">
        <v>9</v>
      </c>
      <c r="H285" s="55">
        <v>14</v>
      </c>
      <c r="I285" s="56">
        <v>61</v>
      </c>
      <c r="J285" s="54">
        <f>K285+L285+M285</f>
        <v>100</v>
      </c>
      <c r="K285" s="55">
        <v>6</v>
      </c>
      <c r="L285" s="55">
        <v>22</v>
      </c>
      <c r="M285" s="55">
        <v>72</v>
      </c>
      <c r="N285" s="55">
        <f>O285+P285+Q285</f>
        <v>102</v>
      </c>
      <c r="O285" s="55">
        <v>4</v>
      </c>
      <c r="P285" s="55">
        <v>33</v>
      </c>
      <c r="Q285" s="55">
        <v>65</v>
      </c>
      <c r="T285" s="2"/>
      <c r="U285" s="13"/>
      <c r="V285" s="2"/>
      <c r="W285" s="2"/>
    </row>
    <row r="286" spans="2:40" x14ac:dyDescent="0.15">
      <c r="D286" s="441"/>
      <c r="E286" s="475"/>
      <c r="F286" s="58">
        <f t="shared" ref="F286:Q286" si="65">ROUND(F285/(F$283+F$285+F$287+F$289),3)</f>
        <v>0.13500000000000001</v>
      </c>
      <c r="G286" s="59">
        <f t="shared" si="65"/>
        <v>0.13600000000000001</v>
      </c>
      <c r="H286" s="59">
        <f t="shared" si="65"/>
        <v>0.109</v>
      </c>
      <c r="I286" s="60">
        <f t="shared" si="65"/>
        <v>0.14199999999999999</v>
      </c>
      <c r="J286" s="58">
        <f t="shared" si="65"/>
        <v>0.151</v>
      </c>
      <c r="K286" s="59">
        <f t="shared" si="65"/>
        <v>0.1</v>
      </c>
      <c r="L286" s="59">
        <f t="shared" si="65"/>
        <v>0.12</v>
      </c>
      <c r="M286" s="59">
        <f t="shared" si="65"/>
        <v>0.17100000000000001</v>
      </c>
      <c r="N286" s="59">
        <f t="shared" si="65"/>
        <v>0.14399999999999999</v>
      </c>
      <c r="O286" s="59">
        <f t="shared" si="65"/>
        <v>5.2999999999999999E-2</v>
      </c>
      <c r="P286" s="59">
        <f t="shared" si="65"/>
        <v>0.153</v>
      </c>
      <c r="Q286" s="59">
        <f t="shared" si="65"/>
        <v>0.157</v>
      </c>
      <c r="R286" s="51"/>
      <c r="S286" s="51"/>
      <c r="T286" s="2"/>
      <c r="U286" s="13"/>
      <c r="V286" s="2"/>
      <c r="W286" s="2"/>
    </row>
    <row r="287" spans="2:40" ht="13.5" customHeight="1" x14ac:dyDescent="0.15">
      <c r="D287" s="439" t="s">
        <v>105</v>
      </c>
      <c r="E287" s="474"/>
      <c r="F287" s="54">
        <f>G287+H287+I287</f>
        <v>115</v>
      </c>
      <c r="G287" s="55">
        <v>13</v>
      </c>
      <c r="H287" s="55">
        <v>25</v>
      </c>
      <c r="I287" s="56">
        <v>77</v>
      </c>
      <c r="J287" s="54">
        <f>K287+L287+M287</f>
        <v>139</v>
      </c>
      <c r="K287" s="55">
        <v>16</v>
      </c>
      <c r="L287" s="55">
        <v>49</v>
      </c>
      <c r="M287" s="55">
        <v>74</v>
      </c>
      <c r="N287" s="55">
        <f>O287+P287+Q287</f>
        <v>141</v>
      </c>
      <c r="O287" s="55">
        <v>21</v>
      </c>
      <c r="P287" s="55">
        <v>53</v>
      </c>
      <c r="Q287" s="55">
        <v>67</v>
      </c>
      <c r="R287" s="51"/>
      <c r="S287" s="51"/>
      <c r="T287" s="2"/>
      <c r="U287" s="13"/>
      <c r="V287" s="2"/>
      <c r="W287" s="2"/>
    </row>
    <row r="288" spans="2:40" x14ac:dyDescent="0.15">
      <c r="D288" s="441"/>
      <c r="E288" s="475"/>
      <c r="F288" s="58">
        <f t="shared" ref="F288:Q288" si="66">ROUND(F287/(F$283+F$285+F$287+F$289),3)</f>
        <v>0.184</v>
      </c>
      <c r="G288" s="59">
        <f t="shared" si="66"/>
        <v>0.19700000000000001</v>
      </c>
      <c r="H288" s="59">
        <f t="shared" si="66"/>
        <v>0.19500000000000001</v>
      </c>
      <c r="I288" s="60">
        <f t="shared" si="66"/>
        <v>0.17899999999999999</v>
      </c>
      <c r="J288" s="58">
        <f t="shared" si="66"/>
        <v>0.20899999999999999</v>
      </c>
      <c r="K288" s="59">
        <f t="shared" si="66"/>
        <v>0.26700000000000002</v>
      </c>
      <c r="L288" s="59">
        <f t="shared" si="66"/>
        <v>0.26800000000000002</v>
      </c>
      <c r="M288" s="59">
        <f t="shared" si="66"/>
        <v>0.17599999999999999</v>
      </c>
      <c r="N288" s="59">
        <f t="shared" si="66"/>
        <v>0.19900000000000001</v>
      </c>
      <c r="O288" s="59">
        <f t="shared" si="66"/>
        <v>0.27600000000000002</v>
      </c>
      <c r="P288" s="59">
        <f t="shared" si="66"/>
        <v>0.245</v>
      </c>
      <c r="Q288" s="59">
        <f t="shared" si="66"/>
        <v>0.161</v>
      </c>
      <c r="R288" s="51"/>
      <c r="S288" s="51"/>
      <c r="T288" s="2"/>
      <c r="U288" s="13"/>
      <c r="V288" s="2"/>
      <c r="W288" s="2"/>
    </row>
    <row r="289" spans="2:40" ht="13.5" customHeight="1" x14ac:dyDescent="0.15">
      <c r="D289" s="439" t="s">
        <v>106</v>
      </c>
      <c r="E289" s="474"/>
      <c r="F289" s="54">
        <f>G289+H289+I289</f>
        <v>187</v>
      </c>
      <c r="G289" s="55">
        <v>23</v>
      </c>
      <c r="H289" s="55">
        <v>57</v>
      </c>
      <c r="I289" s="56">
        <v>107</v>
      </c>
      <c r="J289" s="54">
        <f>K289+L289+M289</f>
        <v>194</v>
      </c>
      <c r="K289" s="55">
        <v>22</v>
      </c>
      <c r="L289" s="55">
        <v>63</v>
      </c>
      <c r="M289" s="55">
        <v>109</v>
      </c>
      <c r="N289" s="55">
        <f>O289+P289+Q289</f>
        <v>209</v>
      </c>
      <c r="O289" s="55">
        <v>30</v>
      </c>
      <c r="P289" s="55">
        <v>81</v>
      </c>
      <c r="Q289" s="55">
        <v>98</v>
      </c>
      <c r="R289" s="51"/>
      <c r="S289" s="51"/>
      <c r="T289" s="2"/>
      <c r="U289" s="13"/>
      <c r="V289" s="2"/>
      <c r="W289" s="2"/>
    </row>
    <row r="290" spans="2:40" x14ac:dyDescent="0.15">
      <c r="D290" s="441"/>
      <c r="E290" s="475"/>
      <c r="F290" s="58">
        <f t="shared" ref="F290:Q290" si="67">ROUND(F289/(F$283+F$285+F$287+F$289),3)</f>
        <v>0.3</v>
      </c>
      <c r="G290" s="59">
        <f t="shared" si="67"/>
        <v>0.34799999999999998</v>
      </c>
      <c r="H290" s="59">
        <f t="shared" si="67"/>
        <v>0.44500000000000001</v>
      </c>
      <c r="I290" s="60">
        <f t="shared" si="67"/>
        <v>0.249</v>
      </c>
      <c r="J290" s="58">
        <f t="shared" si="67"/>
        <v>0.29199999999999998</v>
      </c>
      <c r="K290" s="59">
        <f t="shared" si="67"/>
        <v>0.36699999999999999</v>
      </c>
      <c r="L290" s="59">
        <f t="shared" si="67"/>
        <v>0.34399999999999997</v>
      </c>
      <c r="M290" s="59">
        <f t="shared" si="67"/>
        <v>0.25900000000000001</v>
      </c>
      <c r="N290" s="59">
        <f t="shared" si="67"/>
        <v>0.29599999999999999</v>
      </c>
      <c r="O290" s="59">
        <f t="shared" si="67"/>
        <v>0.39500000000000002</v>
      </c>
      <c r="P290" s="59">
        <f t="shared" si="67"/>
        <v>0.375</v>
      </c>
      <c r="Q290" s="59">
        <f t="shared" si="67"/>
        <v>0.23599999999999999</v>
      </c>
      <c r="R290" s="51"/>
      <c r="S290" s="51"/>
      <c r="T290" s="2"/>
      <c r="U290" s="13"/>
      <c r="V290" s="2"/>
      <c r="W290" s="2"/>
    </row>
    <row r="291" spans="2:40" x14ac:dyDescent="0.15">
      <c r="D291" s="399" t="s">
        <v>53</v>
      </c>
      <c r="E291" s="453"/>
      <c r="F291" s="54">
        <f t="shared" ref="F291:Q292" si="68">F283+F285+F287+F289</f>
        <v>624</v>
      </c>
      <c r="G291" s="55">
        <f t="shared" si="68"/>
        <v>66</v>
      </c>
      <c r="H291" s="55">
        <f t="shared" si="68"/>
        <v>128</v>
      </c>
      <c r="I291" s="56">
        <f t="shared" si="68"/>
        <v>430</v>
      </c>
      <c r="J291" s="54">
        <f t="shared" si="68"/>
        <v>664</v>
      </c>
      <c r="K291" s="55">
        <f t="shared" si="68"/>
        <v>60</v>
      </c>
      <c r="L291" s="55">
        <f t="shared" si="68"/>
        <v>183</v>
      </c>
      <c r="M291" s="55">
        <f t="shared" si="68"/>
        <v>421</v>
      </c>
      <c r="N291" s="111">
        <f t="shared" si="68"/>
        <v>707</v>
      </c>
      <c r="O291" s="111">
        <f t="shared" si="68"/>
        <v>76</v>
      </c>
      <c r="P291" s="111">
        <f t="shared" si="68"/>
        <v>216</v>
      </c>
      <c r="Q291" s="55">
        <f t="shared" si="68"/>
        <v>415</v>
      </c>
      <c r="T291" s="2"/>
      <c r="U291" s="13"/>
      <c r="V291" s="2"/>
      <c r="W291" s="2"/>
    </row>
    <row r="292" spans="2:40" ht="14.25" thickBot="1" x14ac:dyDescent="0.2">
      <c r="D292" s="400"/>
      <c r="E292" s="454"/>
      <c r="F292" s="65">
        <f t="shared" si="68"/>
        <v>1</v>
      </c>
      <c r="G292" s="66">
        <f t="shared" si="68"/>
        <v>0.999</v>
      </c>
      <c r="H292" s="66">
        <f t="shared" si="68"/>
        <v>0.99900000000000011</v>
      </c>
      <c r="I292" s="67">
        <f t="shared" si="68"/>
        <v>0.99999999999999989</v>
      </c>
      <c r="J292" s="68">
        <f t="shared" si="68"/>
        <v>1</v>
      </c>
      <c r="K292" s="69">
        <f t="shared" si="68"/>
        <v>1.0009999999999999</v>
      </c>
      <c r="L292" s="69">
        <f t="shared" si="68"/>
        <v>1</v>
      </c>
      <c r="M292" s="69">
        <f t="shared" si="68"/>
        <v>1</v>
      </c>
      <c r="N292" s="89">
        <f t="shared" si="68"/>
        <v>1</v>
      </c>
      <c r="O292" s="89">
        <f t="shared" si="68"/>
        <v>1</v>
      </c>
      <c r="P292" s="89">
        <f t="shared" si="68"/>
        <v>1</v>
      </c>
      <c r="Q292" s="69">
        <f t="shared" si="68"/>
        <v>1</v>
      </c>
      <c r="R292" s="72"/>
      <c r="S292" s="72"/>
      <c r="T292" s="2"/>
      <c r="U292" s="13"/>
      <c r="V292" s="2"/>
      <c r="W292" s="2"/>
    </row>
    <row r="293" spans="2:40" x14ac:dyDescent="0.15">
      <c r="D293" s="100"/>
      <c r="E293" s="100"/>
      <c r="F293" s="78"/>
      <c r="G293" s="78"/>
      <c r="H293" s="78"/>
      <c r="I293" s="78"/>
      <c r="J293" s="78"/>
      <c r="K293" s="78"/>
      <c r="L293" s="78"/>
      <c r="M293" s="78"/>
      <c r="N293" s="78"/>
      <c r="O293" s="78"/>
      <c r="P293" s="78"/>
      <c r="Q293" s="78"/>
      <c r="R293" s="72"/>
      <c r="S293" s="72"/>
      <c r="T293" s="2"/>
      <c r="U293" s="13"/>
      <c r="V293" s="2"/>
      <c r="W293" s="2"/>
    </row>
    <row r="294" spans="2:40" x14ac:dyDescent="0.15">
      <c r="F294" s="72"/>
      <c r="G294" s="72"/>
      <c r="H294" s="72"/>
      <c r="I294" s="72"/>
      <c r="J294" s="72"/>
      <c r="K294" s="90"/>
      <c r="L294" s="72"/>
      <c r="N294" s="72"/>
      <c r="O294" s="90"/>
      <c r="P294" s="72"/>
    </row>
    <row r="295" spans="2:40" ht="14.25" thickBot="1" x14ac:dyDescent="0.2">
      <c r="B295" s="10" t="s">
        <v>107</v>
      </c>
      <c r="G295" s="11"/>
      <c r="K295" s="52"/>
      <c r="O295" s="52"/>
    </row>
    <row r="296" spans="2:40" x14ac:dyDescent="0.15">
      <c r="D296" s="399"/>
      <c r="E296" s="453"/>
      <c r="F296" s="444" t="s">
        <v>26</v>
      </c>
      <c r="G296" s="384"/>
      <c r="H296" s="384"/>
      <c r="I296" s="385"/>
      <c r="J296" s="467" t="s">
        <v>27</v>
      </c>
      <c r="K296" s="386"/>
      <c r="L296" s="386"/>
      <c r="M296" s="387"/>
      <c r="N296" s="399" t="s">
        <v>28</v>
      </c>
      <c r="O296" s="386"/>
      <c r="P296" s="386"/>
      <c r="Q296" s="387"/>
      <c r="R296" s="1"/>
      <c r="S296" s="1"/>
      <c r="U296" s="1"/>
      <c r="Y296" s="4"/>
      <c r="AJ296" s="5"/>
      <c r="AN296" s="1"/>
    </row>
    <row r="297" spans="2:40" x14ac:dyDescent="0.15">
      <c r="D297" s="400"/>
      <c r="E297" s="454"/>
      <c r="F297" s="367"/>
      <c r="G297" s="364" t="s">
        <v>29</v>
      </c>
      <c r="H297" s="364" t="s">
        <v>30</v>
      </c>
      <c r="I297" s="374" t="s">
        <v>31</v>
      </c>
      <c r="J297" s="14"/>
      <c r="K297" s="15" t="s">
        <v>29</v>
      </c>
      <c r="L297" s="15" t="s">
        <v>30</v>
      </c>
      <c r="M297" s="375" t="s">
        <v>31</v>
      </c>
      <c r="N297" s="372"/>
      <c r="O297" s="364" t="s">
        <v>29</v>
      </c>
      <c r="P297" s="364" t="s">
        <v>30</v>
      </c>
      <c r="Q297" s="375" t="s">
        <v>31</v>
      </c>
      <c r="R297" s="1"/>
      <c r="S297" s="1"/>
      <c r="U297" s="1"/>
      <c r="Y297" s="4"/>
      <c r="AJ297" s="5"/>
      <c r="AN297" s="1"/>
    </row>
    <row r="298" spans="2:40" ht="13.5" customHeight="1" x14ac:dyDescent="0.15">
      <c r="D298" s="439" t="s">
        <v>108</v>
      </c>
      <c r="E298" s="474"/>
      <c r="F298" s="54">
        <f>G298+H298+I298</f>
        <v>6</v>
      </c>
      <c r="G298" s="55">
        <v>1</v>
      </c>
      <c r="H298" s="55">
        <v>0</v>
      </c>
      <c r="I298" s="56">
        <v>5</v>
      </c>
      <c r="J298" s="54">
        <f>K298+L298+M298</f>
        <v>1</v>
      </c>
      <c r="K298" s="55">
        <v>0</v>
      </c>
      <c r="L298" s="55">
        <v>1</v>
      </c>
      <c r="M298" s="55">
        <v>0</v>
      </c>
      <c r="N298" s="55">
        <f>O298+P298+Q298</f>
        <v>8</v>
      </c>
      <c r="O298" s="55">
        <v>0</v>
      </c>
      <c r="P298" s="55">
        <v>8</v>
      </c>
      <c r="Q298" s="55">
        <v>0</v>
      </c>
      <c r="R298" s="1"/>
      <c r="S298" s="1"/>
      <c r="U298" s="1"/>
      <c r="Y298" s="4"/>
      <c r="AJ298" s="5"/>
      <c r="AN298" s="1"/>
    </row>
    <row r="299" spans="2:40" x14ac:dyDescent="0.15">
      <c r="D299" s="441"/>
      <c r="E299" s="475"/>
      <c r="F299" s="58">
        <f t="shared" ref="F299:Q299" si="69">ROUND(F298/(F$298+F$300+F$302+F$304+F$306),3)</f>
        <v>0.01</v>
      </c>
      <c r="G299" s="59">
        <f t="shared" si="69"/>
        <v>1.4999999999999999E-2</v>
      </c>
      <c r="H299" s="59">
        <f t="shared" si="69"/>
        <v>0</v>
      </c>
      <c r="I299" s="60">
        <f t="shared" si="69"/>
        <v>1.2E-2</v>
      </c>
      <c r="J299" s="58">
        <f t="shared" si="69"/>
        <v>2E-3</v>
      </c>
      <c r="K299" s="59">
        <f t="shared" si="69"/>
        <v>0</v>
      </c>
      <c r="L299" s="59">
        <f t="shared" si="69"/>
        <v>5.0000000000000001E-3</v>
      </c>
      <c r="M299" s="59">
        <f t="shared" si="69"/>
        <v>0</v>
      </c>
      <c r="N299" s="59">
        <f t="shared" si="69"/>
        <v>1.0999999999999999E-2</v>
      </c>
      <c r="O299" s="59">
        <f t="shared" si="69"/>
        <v>0</v>
      </c>
      <c r="P299" s="59">
        <f t="shared" si="69"/>
        <v>3.6999999999999998E-2</v>
      </c>
      <c r="Q299" s="59">
        <f t="shared" si="69"/>
        <v>0</v>
      </c>
      <c r="R299" s="1"/>
      <c r="S299" s="1"/>
      <c r="U299" s="1"/>
      <c r="Y299" s="4"/>
      <c r="AJ299" s="5"/>
      <c r="AN299" s="1"/>
    </row>
    <row r="300" spans="2:40" ht="13.5" customHeight="1" x14ac:dyDescent="0.15">
      <c r="D300" s="439" t="s">
        <v>109</v>
      </c>
      <c r="E300" s="474"/>
      <c r="F300" s="54">
        <f>G300+H300+I300</f>
        <v>60</v>
      </c>
      <c r="G300" s="55">
        <v>1</v>
      </c>
      <c r="H300" s="55">
        <v>14</v>
      </c>
      <c r="I300" s="56">
        <v>45</v>
      </c>
      <c r="J300" s="54">
        <f>K300+L300+M300</f>
        <v>67</v>
      </c>
      <c r="K300" s="55">
        <v>2</v>
      </c>
      <c r="L300" s="55">
        <v>22</v>
      </c>
      <c r="M300" s="55">
        <v>43</v>
      </c>
      <c r="N300" s="55">
        <f>O300+P300+Q300</f>
        <v>86</v>
      </c>
      <c r="O300" s="55">
        <v>1</v>
      </c>
      <c r="P300" s="55">
        <v>26</v>
      </c>
      <c r="Q300" s="55">
        <v>59</v>
      </c>
      <c r="R300" s="1"/>
      <c r="S300" s="1"/>
      <c r="U300" s="1"/>
      <c r="Y300" s="4"/>
      <c r="AJ300" s="5"/>
      <c r="AN300" s="1"/>
    </row>
    <row r="301" spans="2:40" x14ac:dyDescent="0.15">
      <c r="D301" s="441"/>
      <c r="E301" s="475"/>
      <c r="F301" s="58">
        <f t="shared" ref="F301:Q301" si="70">ROUND(F300/(F$298+F$300+F$302+F$304+F$306),3)</f>
        <v>9.7000000000000003E-2</v>
      </c>
      <c r="G301" s="59">
        <f t="shared" si="70"/>
        <v>1.4999999999999999E-2</v>
      </c>
      <c r="H301" s="59">
        <f t="shared" si="70"/>
        <v>0.112</v>
      </c>
      <c r="I301" s="60">
        <f t="shared" si="70"/>
        <v>0.106</v>
      </c>
      <c r="J301" s="58">
        <f t="shared" si="70"/>
        <v>0.10100000000000001</v>
      </c>
      <c r="K301" s="59">
        <f t="shared" si="70"/>
        <v>3.4000000000000002E-2</v>
      </c>
      <c r="L301" s="59">
        <f t="shared" si="70"/>
        <v>0.121</v>
      </c>
      <c r="M301" s="59">
        <f t="shared" si="70"/>
        <v>0.10199999999999999</v>
      </c>
      <c r="N301" s="59">
        <f t="shared" si="70"/>
        <v>0.122</v>
      </c>
      <c r="O301" s="59">
        <f t="shared" si="70"/>
        <v>1.2999999999999999E-2</v>
      </c>
      <c r="P301" s="59">
        <f t="shared" si="70"/>
        <v>0.121</v>
      </c>
      <c r="Q301" s="59">
        <f t="shared" si="70"/>
        <v>0.14199999999999999</v>
      </c>
      <c r="R301" s="1"/>
      <c r="S301" s="1"/>
      <c r="U301" s="1"/>
      <c r="Y301" s="4"/>
      <c r="AJ301" s="5"/>
      <c r="AN301" s="1"/>
    </row>
    <row r="302" spans="2:40" ht="13.5" customHeight="1" x14ac:dyDescent="0.15">
      <c r="D302" s="504" t="s">
        <v>110</v>
      </c>
      <c r="E302" s="505"/>
      <c r="F302" s="54">
        <f>G302+H302+I302</f>
        <v>187</v>
      </c>
      <c r="G302" s="55">
        <v>7</v>
      </c>
      <c r="H302" s="55">
        <v>46</v>
      </c>
      <c r="I302" s="56">
        <v>134</v>
      </c>
      <c r="J302" s="54">
        <f>K302+L302+M302</f>
        <v>199</v>
      </c>
      <c r="K302" s="55">
        <v>2</v>
      </c>
      <c r="L302" s="55">
        <v>67</v>
      </c>
      <c r="M302" s="55">
        <v>130</v>
      </c>
      <c r="N302" s="55">
        <f>O302+P302+Q302</f>
        <v>219</v>
      </c>
      <c r="O302" s="55">
        <v>2</v>
      </c>
      <c r="P302" s="55">
        <v>83</v>
      </c>
      <c r="Q302" s="55">
        <v>134</v>
      </c>
      <c r="R302" s="1"/>
      <c r="S302" s="1"/>
      <c r="U302" s="1"/>
      <c r="Y302" s="4"/>
      <c r="AJ302" s="5"/>
      <c r="AN302" s="1"/>
    </row>
    <row r="303" spans="2:40" x14ac:dyDescent="0.15">
      <c r="D303" s="506"/>
      <c r="E303" s="507"/>
      <c r="F303" s="58">
        <f t="shared" ref="F303:Q303" si="71">ROUND(F302/(F$298+F$300+F$302+F$304+F$306),3)</f>
        <v>0.30399999999999999</v>
      </c>
      <c r="G303" s="59">
        <f t="shared" si="71"/>
        <v>0.108</v>
      </c>
      <c r="H303" s="59">
        <f t="shared" si="71"/>
        <v>0.36799999999999999</v>
      </c>
      <c r="I303" s="60">
        <f t="shared" si="71"/>
        <v>0.315</v>
      </c>
      <c r="J303" s="58">
        <f t="shared" si="71"/>
        <v>0.30099999999999999</v>
      </c>
      <c r="K303" s="59">
        <f t="shared" si="71"/>
        <v>3.4000000000000002E-2</v>
      </c>
      <c r="L303" s="59">
        <f t="shared" si="71"/>
        <v>0.36799999999999999</v>
      </c>
      <c r="M303" s="59">
        <f t="shared" si="71"/>
        <v>0.31</v>
      </c>
      <c r="N303" s="59">
        <f t="shared" si="71"/>
        <v>0.311</v>
      </c>
      <c r="O303" s="59">
        <f t="shared" si="71"/>
        <v>2.7E-2</v>
      </c>
      <c r="P303" s="59">
        <f t="shared" si="71"/>
        <v>0.38600000000000001</v>
      </c>
      <c r="Q303" s="59">
        <f t="shared" si="71"/>
        <v>0.32300000000000001</v>
      </c>
      <c r="R303" s="1"/>
      <c r="S303" s="1"/>
      <c r="U303" s="1"/>
      <c r="Y303" s="4"/>
      <c r="AJ303" s="5"/>
      <c r="AN303" s="1"/>
    </row>
    <row r="304" spans="2:40" ht="13.5" customHeight="1" x14ac:dyDescent="0.15">
      <c r="D304" s="504" t="s">
        <v>111</v>
      </c>
      <c r="E304" s="505"/>
      <c r="F304" s="54">
        <f>G304+H304+I304</f>
        <v>193</v>
      </c>
      <c r="G304" s="55">
        <v>5</v>
      </c>
      <c r="H304" s="55">
        <v>53</v>
      </c>
      <c r="I304" s="56">
        <v>135</v>
      </c>
      <c r="J304" s="54">
        <f>K304+L304+M304</f>
        <v>240</v>
      </c>
      <c r="K304" s="55">
        <v>8</v>
      </c>
      <c r="L304" s="55">
        <v>83</v>
      </c>
      <c r="M304" s="55">
        <v>149</v>
      </c>
      <c r="N304" s="55">
        <f>O304+P304+Q304</f>
        <v>209</v>
      </c>
      <c r="O304" s="55">
        <v>10</v>
      </c>
      <c r="P304" s="55">
        <v>86</v>
      </c>
      <c r="Q304" s="55">
        <v>113</v>
      </c>
      <c r="R304" s="1"/>
      <c r="S304" s="1"/>
      <c r="U304" s="1"/>
      <c r="Y304" s="4"/>
      <c r="AJ304" s="5"/>
      <c r="AN304" s="1"/>
    </row>
    <row r="305" spans="2:40" x14ac:dyDescent="0.15">
      <c r="D305" s="506"/>
      <c r="E305" s="507"/>
      <c r="F305" s="58">
        <f t="shared" ref="F305:Q305" si="72">ROUND(F304/(F$298+F$300+F$302+F$304+F$306),3)</f>
        <v>0.313</v>
      </c>
      <c r="G305" s="59">
        <f t="shared" si="72"/>
        <v>7.6999999999999999E-2</v>
      </c>
      <c r="H305" s="59">
        <f t="shared" si="72"/>
        <v>0.42399999999999999</v>
      </c>
      <c r="I305" s="60">
        <f t="shared" si="72"/>
        <v>0.317</v>
      </c>
      <c r="J305" s="58">
        <f t="shared" si="72"/>
        <v>0.36299999999999999</v>
      </c>
      <c r="K305" s="59">
        <f t="shared" si="72"/>
        <v>0.13600000000000001</v>
      </c>
      <c r="L305" s="59">
        <f t="shared" si="72"/>
        <v>0.45600000000000002</v>
      </c>
      <c r="M305" s="59">
        <f t="shared" si="72"/>
        <v>0.35499999999999998</v>
      </c>
      <c r="N305" s="59">
        <f t="shared" si="72"/>
        <v>0.29599999999999999</v>
      </c>
      <c r="O305" s="59">
        <f t="shared" si="72"/>
        <v>0.13300000000000001</v>
      </c>
      <c r="P305" s="59">
        <f t="shared" si="72"/>
        <v>0.4</v>
      </c>
      <c r="Q305" s="59">
        <f t="shared" si="72"/>
        <v>0.27200000000000002</v>
      </c>
      <c r="R305" s="1"/>
      <c r="S305" s="1"/>
      <c r="U305" s="1"/>
      <c r="Y305" s="4"/>
      <c r="AJ305" s="5"/>
      <c r="AN305" s="1"/>
    </row>
    <row r="306" spans="2:40" ht="13.5" customHeight="1" x14ac:dyDescent="0.15">
      <c r="D306" s="497" t="s">
        <v>112</v>
      </c>
      <c r="E306" s="499"/>
      <c r="F306" s="54">
        <f>G306+H306+I306</f>
        <v>170</v>
      </c>
      <c r="G306" s="55">
        <v>51</v>
      </c>
      <c r="H306" s="55">
        <v>12</v>
      </c>
      <c r="I306" s="56">
        <v>107</v>
      </c>
      <c r="J306" s="54">
        <f>K306+L306+M306</f>
        <v>154</v>
      </c>
      <c r="K306" s="55">
        <v>47</v>
      </c>
      <c r="L306" s="55">
        <v>9</v>
      </c>
      <c r="M306" s="55">
        <v>98</v>
      </c>
      <c r="N306" s="55">
        <f>O306+P306+Q306</f>
        <v>183</v>
      </c>
      <c r="O306" s="55">
        <v>62</v>
      </c>
      <c r="P306" s="55">
        <v>12</v>
      </c>
      <c r="Q306" s="55">
        <v>109</v>
      </c>
      <c r="R306" s="1"/>
      <c r="S306" s="1"/>
      <c r="U306" s="1"/>
      <c r="Y306" s="4"/>
      <c r="AJ306" s="5"/>
      <c r="AN306" s="1"/>
    </row>
    <row r="307" spans="2:40" x14ac:dyDescent="0.15">
      <c r="D307" s="500"/>
      <c r="E307" s="502"/>
      <c r="F307" s="58">
        <f t="shared" ref="F307:Q307" si="73">ROUND(F306/(F$298+F$300+F$302+F$304+F$306),3)</f>
        <v>0.27600000000000002</v>
      </c>
      <c r="G307" s="59">
        <f t="shared" si="73"/>
        <v>0.78500000000000003</v>
      </c>
      <c r="H307" s="59">
        <f t="shared" si="73"/>
        <v>9.6000000000000002E-2</v>
      </c>
      <c r="I307" s="60">
        <f t="shared" si="73"/>
        <v>0.251</v>
      </c>
      <c r="J307" s="58">
        <f t="shared" si="73"/>
        <v>0.23300000000000001</v>
      </c>
      <c r="K307" s="59">
        <f t="shared" si="73"/>
        <v>0.79700000000000004</v>
      </c>
      <c r="L307" s="59">
        <f t="shared" si="73"/>
        <v>4.9000000000000002E-2</v>
      </c>
      <c r="M307" s="59">
        <f t="shared" si="73"/>
        <v>0.23300000000000001</v>
      </c>
      <c r="N307" s="59">
        <f t="shared" si="73"/>
        <v>0.26</v>
      </c>
      <c r="O307" s="59">
        <f t="shared" si="73"/>
        <v>0.82699999999999996</v>
      </c>
      <c r="P307" s="59">
        <f t="shared" si="73"/>
        <v>5.6000000000000001E-2</v>
      </c>
      <c r="Q307" s="59">
        <f t="shared" si="73"/>
        <v>0.26300000000000001</v>
      </c>
      <c r="R307" s="1"/>
      <c r="S307" s="1"/>
      <c r="U307" s="1"/>
      <c r="Y307" s="4"/>
      <c r="AJ307" s="5"/>
      <c r="AN307" s="1"/>
    </row>
    <row r="308" spans="2:40" x14ac:dyDescent="0.15">
      <c r="D308" s="399" t="s">
        <v>53</v>
      </c>
      <c r="E308" s="453"/>
      <c r="F308" s="54">
        <f t="shared" ref="F308:Q309" si="74">F298+F300+F302+F304+F306</f>
        <v>616</v>
      </c>
      <c r="G308" s="55">
        <f t="shared" si="74"/>
        <v>65</v>
      </c>
      <c r="H308" s="55">
        <f t="shared" si="74"/>
        <v>125</v>
      </c>
      <c r="I308" s="56">
        <f t="shared" si="74"/>
        <v>426</v>
      </c>
      <c r="J308" s="54">
        <f t="shared" si="74"/>
        <v>661</v>
      </c>
      <c r="K308" s="55">
        <f t="shared" si="74"/>
        <v>59</v>
      </c>
      <c r="L308" s="55">
        <f t="shared" si="74"/>
        <v>182</v>
      </c>
      <c r="M308" s="55">
        <f t="shared" si="74"/>
        <v>420</v>
      </c>
      <c r="N308" s="55">
        <f t="shared" si="74"/>
        <v>705</v>
      </c>
      <c r="O308" s="55">
        <f t="shared" si="74"/>
        <v>75</v>
      </c>
      <c r="P308" s="55">
        <f t="shared" si="74"/>
        <v>215</v>
      </c>
      <c r="Q308" s="55">
        <f t="shared" si="74"/>
        <v>415</v>
      </c>
      <c r="R308" s="1"/>
      <c r="S308" s="1"/>
      <c r="U308" s="1"/>
      <c r="Y308" s="4"/>
      <c r="AJ308" s="5"/>
      <c r="AN308" s="1"/>
    </row>
    <row r="309" spans="2:40" ht="14.25" thickBot="1" x14ac:dyDescent="0.2">
      <c r="D309" s="400"/>
      <c r="E309" s="454"/>
      <c r="F309" s="65">
        <f t="shared" si="74"/>
        <v>1</v>
      </c>
      <c r="G309" s="66">
        <f t="shared" si="74"/>
        <v>1</v>
      </c>
      <c r="H309" s="66">
        <f t="shared" si="74"/>
        <v>0.99999999999999989</v>
      </c>
      <c r="I309" s="67">
        <f t="shared" si="74"/>
        <v>1.0009999999999999</v>
      </c>
      <c r="J309" s="68">
        <f t="shared" si="74"/>
        <v>1</v>
      </c>
      <c r="K309" s="69">
        <f t="shared" si="74"/>
        <v>1.0010000000000001</v>
      </c>
      <c r="L309" s="69">
        <f t="shared" si="74"/>
        <v>0.999</v>
      </c>
      <c r="M309" s="69">
        <f t="shared" si="74"/>
        <v>0.99999999999999989</v>
      </c>
      <c r="N309" s="69">
        <f t="shared" si="74"/>
        <v>1</v>
      </c>
      <c r="O309" s="69">
        <f t="shared" si="74"/>
        <v>1</v>
      </c>
      <c r="P309" s="69">
        <f t="shared" si="74"/>
        <v>1</v>
      </c>
      <c r="Q309" s="69">
        <f t="shared" si="74"/>
        <v>1</v>
      </c>
      <c r="R309" s="1"/>
      <c r="S309" s="1"/>
      <c r="U309" s="1"/>
      <c r="Y309" s="4"/>
      <c r="AJ309" s="5"/>
      <c r="AN309" s="1"/>
    </row>
    <row r="310" spans="2:40" x14ac:dyDescent="0.15">
      <c r="D310" s="100"/>
      <c r="E310" s="100"/>
      <c r="F310" s="78"/>
      <c r="G310" s="78"/>
      <c r="H310" s="78"/>
      <c r="I310" s="78"/>
      <c r="J310" s="78"/>
      <c r="K310" s="78"/>
      <c r="L310" s="78"/>
      <c r="M310" s="78"/>
      <c r="N310" s="1"/>
      <c r="O310" s="1"/>
      <c r="P310" s="1"/>
      <c r="Q310" s="1"/>
      <c r="R310" s="1"/>
      <c r="S310" s="1"/>
      <c r="AF310" s="5"/>
      <c r="AN310" s="1"/>
    </row>
    <row r="311" spans="2:40" x14ac:dyDescent="0.15">
      <c r="D311" s="100"/>
      <c r="E311" s="100"/>
      <c r="F311" s="90"/>
      <c r="G311" s="90"/>
      <c r="H311" s="90"/>
      <c r="I311" s="90"/>
      <c r="J311" s="78"/>
      <c r="K311" s="78"/>
      <c r="L311" s="78"/>
      <c r="M311" s="78"/>
      <c r="N311" s="78"/>
      <c r="O311" s="78"/>
      <c r="P311" s="78"/>
      <c r="Q311" s="78"/>
      <c r="R311" s="72"/>
      <c r="S311" s="72"/>
      <c r="T311" s="46"/>
      <c r="U311" s="47"/>
      <c r="V311" s="46"/>
      <c r="W311" s="2"/>
    </row>
    <row r="312" spans="2:40" ht="14.25" thickBot="1" x14ac:dyDescent="0.2">
      <c r="B312" s="10" t="s">
        <v>113</v>
      </c>
      <c r="G312" s="112"/>
      <c r="K312" s="52"/>
      <c r="O312" s="52"/>
    </row>
    <row r="313" spans="2:40" x14ac:dyDescent="0.15">
      <c r="D313" s="399"/>
      <c r="E313" s="453"/>
      <c r="F313" s="444" t="s">
        <v>26</v>
      </c>
      <c r="G313" s="384"/>
      <c r="H313" s="384"/>
      <c r="I313" s="385"/>
      <c r="J313" s="467" t="s">
        <v>27</v>
      </c>
      <c r="K313" s="386"/>
      <c r="L313" s="386"/>
      <c r="M313" s="387"/>
      <c r="N313" s="399" t="s">
        <v>28</v>
      </c>
      <c r="O313" s="386"/>
      <c r="P313" s="386"/>
      <c r="Q313" s="387"/>
      <c r="R313" s="12"/>
      <c r="S313" s="12"/>
      <c r="T313" s="2"/>
      <c r="U313" s="13"/>
      <c r="V313" s="2"/>
      <c r="W313" s="2"/>
    </row>
    <row r="314" spans="2:40" x14ac:dyDescent="0.15">
      <c r="D314" s="400"/>
      <c r="E314" s="454"/>
      <c r="F314" s="371"/>
      <c r="G314" s="364" t="s">
        <v>29</v>
      </c>
      <c r="H314" s="364" t="s">
        <v>30</v>
      </c>
      <c r="I314" s="374" t="s">
        <v>31</v>
      </c>
      <c r="J314" s="14"/>
      <c r="K314" s="15" t="s">
        <v>29</v>
      </c>
      <c r="L314" s="15" t="s">
        <v>30</v>
      </c>
      <c r="M314" s="375" t="s">
        <v>31</v>
      </c>
      <c r="N314" s="372"/>
      <c r="O314" s="364" t="s">
        <v>29</v>
      </c>
      <c r="P314" s="364" t="s">
        <v>30</v>
      </c>
      <c r="Q314" s="375" t="s">
        <v>31</v>
      </c>
      <c r="R314" s="20"/>
      <c r="S314" s="20"/>
      <c r="T314" s="2"/>
      <c r="U314" s="13"/>
      <c r="V314" s="2"/>
      <c r="W314" s="2"/>
    </row>
    <row r="315" spans="2:40" ht="13.5" customHeight="1" x14ac:dyDescent="0.15">
      <c r="D315" s="439" t="s">
        <v>8</v>
      </c>
      <c r="E315" s="474"/>
      <c r="F315" s="54">
        <f>G315+H315+I315</f>
        <v>431</v>
      </c>
      <c r="G315" s="55">
        <v>35</v>
      </c>
      <c r="H315" s="55">
        <v>102</v>
      </c>
      <c r="I315" s="56">
        <v>294</v>
      </c>
      <c r="J315" s="54">
        <f>K315+L315+M315</f>
        <v>479</v>
      </c>
      <c r="K315" s="55">
        <v>32</v>
      </c>
      <c r="L315" s="55">
        <v>144</v>
      </c>
      <c r="M315" s="55">
        <v>303</v>
      </c>
      <c r="N315" s="55">
        <f>O315+P315+Q315</f>
        <v>514</v>
      </c>
      <c r="O315" s="55">
        <v>44</v>
      </c>
      <c r="P315" s="55">
        <v>179</v>
      </c>
      <c r="Q315" s="55">
        <v>291</v>
      </c>
      <c r="T315" s="2"/>
      <c r="U315" s="13"/>
      <c r="V315" s="2"/>
      <c r="W315" s="2"/>
    </row>
    <row r="316" spans="2:40" x14ac:dyDescent="0.15">
      <c r="D316" s="441"/>
      <c r="E316" s="475"/>
      <c r="F316" s="58">
        <f t="shared" ref="F316:Q316" si="75">ROUND(F315/(F$315+F$317),3)</f>
        <v>0.69</v>
      </c>
      <c r="G316" s="59">
        <f t="shared" si="75"/>
        <v>0.53</v>
      </c>
      <c r="H316" s="59">
        <f t="shared" si="75"/>
        <v>0.79700000000000004</v>
      </c>
      <c r="I316" s="60">
        <f t="shared" si="75"/>
        <v>0.68200000000000005</v>
      </c>
      <c r="J316" s="58">
        <f t="shared" si="75"/>
        <v>0.72399999999999998</v>
      </c>
      <c r="K316" s="59">
        <f t="shared" si="75"/>
        <v>0.53300000000000003</v>
      </c>
      <c r="L316" s="59">
        <f t="shared" si="75"/>
        <v>0.78300000000000003</v>
      </c>
      <c r="M316" s="59">
        <f t="shared" si="75"/>
        <v>0.72499999999999998</v>
      </c>
      <c r="N316" s="59">
        <f t="shared" si="75"/>
        <v>0.72899999999999998</v>
      </c>
      <c r="O316" s="59">
        <f t="shared" si="75"/>
        <v>0.57899999999999996</v>
      </c>
      <c r="P316" s="59">
        <f t="shared" si="75"/>
        <v>0.82899999999999996</v>
      </c>
      <c r="Q316" s="59">
        <f t="shared" si="75"/>
        <v>0.70499999999999996</v>
      </c>
      <c r="R316" s="51"/>
      <c r="S316" s="51"/>
      <c r="T316" s="2"/>
      <c r="U316" s="13"/>
      <c r="V316" s="2"/>
      <c r="W316" s="2"/>
    </row>
    <row r="317" spans="2:40" ht="13.5" customHeight="1" x14ac:dyDescent="0.15">
      <c r="D317" s="439" t="s">
        <v>0</v>
      </c>
      <c r="E317" s="474"/>
      <c r="F317" s="54">
        <f>G317+H317+I317</f>
        <v>194</v>
      </c>
      <c r="G317" s="55">
        <v>31</v>
      </c>
      <c r="H317" s="55">
        <v>26</v>
      </c>
      <c r="I317" s="56">
        <v>137</v>
      </c>
      <c r="J317" s="54">
        <f>K317+L317+M317</f>
        <v>183</v>
      </c>
      <c r="K317" s="55">
        <v>28</v>
      </c>
      <c r="L317" s="55">
        <v>40</v>
      </c>
      <c r="M317" s="55">
        <v>115</v>
      </c>
      <c r="N317" s="55">
        <f>O317+P317+Q317</f>
        <v>191</v>
      </c>
      <c r="O317" s="55">
        <v>32</v>
      </c>
      <c r="P317" s="55">
        <v>37</v>
      </c>
      <c r="Q317" s="55">
        <v>122</v>
      </c>
      <c r="T317" s="2"/>
      <c r="U317" s="13"/>
      <c r="V317" s="2"/>
      <c r="W317" s="2"/>
    </row>
    <row r="318" spans="2:40" x14ac:dyDescent="0.15">
      <c r="D318" s="441"/>
      <c r="E318" s="475"/>
      <c r="F318" s="58">
        <f t="shared" ref="F318:Q318" si="76">ROUND(F317/(F$315+F$317),3)</f>
        <v>0.31</v>
      </c>
      <c r="G318" s="59">
        <f t="shared" si="76"/>
        <v>0.47</v>
      </c>
      <c r="H318" s="59">
        <f t="shared" si="76"/>
        <v>0.20300000000000001</v>
      </c>
      <c r="I318" s="60">
        <f t="shared" si="76"/>
        <v>0.318</v>
      </c>
      <c r="J318" s="58">
        <f t="shared" si="76"/>
        <v>0.27600000000000002</v>
      </c>
      <c r="K318" s="59">
        <f t="shared" si="76"/>
        <v>0.46700000000000003</v>
      </c>
      <c r="L318" s="59">
        <f t="shared" si="76"/>
        <v>0.217</v>
      </c>
      <c r="M318" s="59">
        <f t="shared" si="76"/>
        <v>0.27500000000000002</v>
      </c>
      <c r="N318" s="59">
        <f t="shared" si="76"/>
        <v>0.27100000000000002</v>
      </c>
      <c r="O318" s="59">
        <f t="shared" si="76"/>
        <v>0.42099999999999999</v>
      </c>
      <c r="P318" s="59">
        <f t="shared" si="76"/>
        <v>0.17100000000000001</v>
      </c>
      <c r="Q318" s="59">
        <f t="shared" si="76"/>
        <v>0.29499999999999998</v>
      </c>
      <c r="R318" s="51"/>
      <c r="S318" s="51"/>
      <c r="T318" s="2"/>
      <c r="U318" s="13"/>
      <c r="V318" s="2"/>
      <c r="W318" s="2"/>
    </row>
    <row r="319" spans="2:40" x14ac:dyDescent="0.15">
      <c r="D319" s="399" t="s">
        <v>53</v>
      </c>
      <c r="E319" s="453"/>
      <c r="F319" s="54">
        <f t="shared" ref="F319:Q320" si="77">F315+F317</f>
        <v>625</v>
      </c>
      <c r="G319" s="55">
        <f t="shared" si="77"/>
        <v>66</v>
      </c>
      <c r="H319" s="55">
        <f t="shared" si="77"/>
        <v>128</v>
      </c>
      <c r="I319" s="56">
        <f t="shared" si="77"/>
        <v>431</v>
      </c>
      <c r="J319" s="54">
        <f t="shared" si="77"/>
        <v>662</v>
      </c>
      <c r="K319" s="55">
        <f t="shared" si="77"/>
        <v>60</v>
      </c>
      <c r="L319" s="55">
        <f t="shared" si="77"/>
        <v>184</v>
      </c>
      <c r="M319" s="55">
        <f t="shared" si="77"/>
        <v>418</v>
      </c>
      <c r="N319" s="55">
        <f t="shared" si="77"/>
        <v>705</v>
      </c>
      <c r="O319" s="55">
        <f t="shared" si="77"/>
        <v>76</v>
      </c>
      <c r="P319" s="55">
        <f t="shared" si="77"/>
        <v>216</v>
      </c>
      <c r="Q319" s="55">
        <f t="shared" si="77"/>
        <v>413</v>
      </c>
      <c r="T319" s="2"/>
      <c r="U319" s="13"/>
      <c r="V319" s="2"/>
      <c r="W319" s="2"/>
    </row>
    <row r="320" spans="2:40" ht="14.25" thickBot="1" x14ac:dyDescent="0.2">
      <c r="D320" s="400"/>
      <c r="E320" s="454"/>
      <c r="F320" s="65">
        <f t="shared" si="77"/>
        <v>1</v>
      </c>
      <c r="G320" s="66">
        <f t="shared" si="77"/>
        <v>1</v>
      </c>
      <c r="H320" s="66">
        <f t="shared" si="77"/>
        <v>1</v>
      </c>
      <c r="I320" s="67">
        <f t="shared" si="77"/>
        <v>1</v>
      </c>
      <c r="J320" s="68">
        <f t="shared" si="77"/>
        <v>1</v>
      </c>
      <c r="K320" s="69">
        <f t="shared" si="77"/>
        <v>1</v>
      </c>
      <c r="L320" s="69">
        <f t="shared" si="77"/>
        <v>1</v>
      </c>
      <c r="M320" s="69">
        <f t="shared" si="77"/>
        <v>1</v>
      </c>
      <c r="N320" s="69">
        <f t="shared" si="77"/>
        <v>1</v>
      </c>
      <c r="O320" s="69">
        <f t="shared" si="77"/>
        <v>1</v>
      </c>
      <c r="P320" s="69">
        <f t="shared" si="77"/>
        <v>1</v>
      </c>
      <c r="Q320" s="69">
        <f t="shared" si="77"/>
        <v>1</v>
      </c>
      <c r="R320" s="72"/>
      <c r="S320" s="72"/>
      <c r="T320" s="46"/>
      <c r="U320" s="47"/>
      <c r="V320" s="46"/>
      <c r="W320" s="2"/>
    </row>
    <row r="321" spans="1:41" x14ac:dyDescent="0.15">
      <c r="D321" s="100"/>
      <c r="E321" s="100"/>
      <c r="F321" s="78"/>
      <c r="G321" s="78"/>
      <c r="H321" s="78"/>
      <c r="I321" s="78"/>
      <c r="J321" s="78"/>
      <c r="K321" s="78"/>
      <c r="L321" s="78"/>
      <c r="M321" s="78"/>
      <c r="N321" s="78"/>
      <c r="O321" s="78"/>
      <c r="P321" s="78"/>
      <c r="Q321" s="78"/>
      <c r="R321" s="72"/>
      <c r="S321" s="72"/>
      <c r="T321" s="46"/>
      <c r="U321" s="47"/>
      <c r="V321" s="46"/>
      <c r="W321" s="2"/>
    </row>
    <row r="322" spans="1:41" x14ac:dyDescent="0.15">
      <c r="D322" s="100"/>
      <c r="E322" s="100"/>
      <c r="F322" s="90"/>
      <c r="G322" s="90"/>
      <c r="H322" s="90"/>
      <c r="I322" s="90"/>
      <c r="J322" s="78"/>
      <c r="K322" s="78"/>
      <c r="L322" s="78"/>
      <c r="M322" s="78"/>
      <c r="N322" s="78"/>
      <c r="O322" s="78"/>
      <c r="P322" s="78"/>
      <c r="Q322" s="78"/>
      <c r="R322" s="72"/>
      <c r="S322" s="72"/>
      <c r="T322" s="46"/>
      <c r="U322" s="47"/>
      <c r="V322" s="46"/>
      <c r="W322" s="2"/>
    </row>
    <row r="323" spans="1:41" ht="14.25" thickBot="1" x14ac:dyDescent="0.2">
      <c r="B323" s="10" t="s">
        <v>114</v>
      </c>
      <c r="G323" s="112"/>
      <c r="K323" s="52"/>
      <c r="O323" s="52"/>
    </row>
    <row r="324" spans="1:41" x14ac:dyDescent="0.15">
      <c r="D324" s="399"/>
      <c r="E324" s="453"/>
      <c r="F324" s="444" t="s">
        <v>26</v>
      </c>
      <c r="G324" s="384"/>
      <c r="H324" s="384"/>
      <c r="I324" s="385"/>
      <c r="J324" s="467" t="s">
        <v>27</v>
      </c>
      <c r="K324" s="386"/>
      <c r="L324" s="386"/>
      <c r="M324" s="387"/>
      <c r="N324" s="399" t="s">
        <v>28</v>
      </c>
      <c r="O324" s="386"/>
      <c r="P324" s="386"/>
      <c r="Q324" s="387"/>
      <c r="R324" s="1"/>
      <c r="S324" s="1"/>
      <c r="U324" s="1"/>
      <c r="Y324" s="4"/>
      <c r="AJ324" s="5"/>
      <c r="AN324" s="1"/>
    </row>
    <row r="325" spans="1:41" x14ac:dyDescent="0.15">
      <c r="D325" s="400"/>
      <c r="E325" s="454"/>
      <c r="F325" s="367"/>
      <c r="G325" s="364" t="s">
        <v>29</v>
      </c>
      <c r="H325" s="364" t="s">
        <v>30</v>
      </c>
      <c r="I325" s="374" t="s">
        <v>31</v>
      </c>
      <c r="J325" s="14"/>
      <c r="K325" s="15" t="s">
        <v>29</v>
      </c>
      <c r="L325" s="15" t="s">
        <v>30</v>
      </c>
      <c r="M325" s="375" t="s">
        <v>31</v>
      </c>
      <c r="N325" s="372"/>
      <c r="O325" s="364" t="s">
        <v>29</v>
      </c>
      <c r="P325" s="364" t="s">
        <v>30</v>
      </c>
      <c r="Q325" s="375" t="s">
        <v>31</v>
      </c>
      <c r="R325" s="1"/>
      <c r="S325" s="1"/>
      <c r="U325" s="1"/>
      <c r="Y325" s="4"/>
      <c r="AJ325" s="5"/>
      <c r="AN325" s="1"/>
    </row>
    <row r="326" spans="1:41" ht="13.5" customHeight="1" x14ac:dyDescent="0.15">
      <c r="D326" s="439" t="s">
        <v>8</v>
      </c>
      <c r="E326" s="474"/>
      <c r="F326" s="54">
        <f>G326+H326+I326</f>
        <v>265</v>
      </c>
      <c r="G326" s="55">
        <v>17</v>
      </c>
      <c r="H326" s="55">
        <v>65</v>
      </c>
      <c r="I326" s="56">
        <v>183</v>
      </c>
      <c r="J326" s="54">
        <f>K326+L326+M326</f>
        <v>299</v>
      </c>
      <c r="K326" s="55">
        <v>20</v>
      </c>
      <c r="L326" s="55">
        <v>95</v>
      </c>
      <c r="M326" s="55">
        <v>184</v>
      </c>
      <c r="N326" s="55">
        <f>O326+P326+Q326</f>
        <v>305</v>
      </c>
      <c r="O326" s="55">
        <v>22</v>
      </c>
      <c r="P326" s="55">
        <v>108</v>
      </c>
      <c r="Q326" s="55">
        <v>175</v>
      </c>
      <c r="R326" s="1"/>
      <c r="S326" s="1"/>
      <c r="U326" s="1"/>
      <c r="Y326" s="4"/>
      <c r="AJ326" s="5"/>
      <c r="AN326" s="1"/>
    </row>
    <row r="327" spans="1:41" x14ac:dyDescent="0.15">
      <c r="D327" s="441"/>
      <c r="E327" s="475"/>
      <c r="F327" s="58">
        <f t="shared" ref="F327:Q327" si="78">ROUND(F326/(F$326+F$328),3)</f>
        <v>0.42699999999999999</v>
      </c>
      <c r="G327" s="59">
        <f t="shared" si="78"/>
        <v>0.25800000000000001</v>
      </c>
      <c r="H327" s="59">
        <f t="shared" si="78"/>
        <v>0.51200000000000001</v>
      </c>
      <c r="I327" s="60">
        <f t="shared" si="78"/>
        <v>0.42799999999999999</v>
      </c>
      <c r="J327" s="58">
        <f t="shared" si="78"/>
        <v>0.45500000000000002</v>
      </c>
      <c r="K327" s="59">
        <f t="shared" si="78"/>
        <v>0.33900000000000002</v>
      </c>
      <c r="L327" s="59">
        <f t="shared" si="78"/>
        <v>0.51900000000000002</v>
      </c>
      <c r="M327" s="59">
        <f t="shared" si="78"/>
        <v>0.443</v>
      </c>
      <c r="N327" s="59">
        <f t="shared" si="78"/>
        <v>0.437</v>
      </c>
      <c r="O327" s="59">
        <f t="shared" si="78"/>
        <v>0.29299999999999998</v>
      </c>
      <c r="P327" s="59">
        <f t="shared" si="78"/>
        <v>0.50900000000000001</v>
      </c>
      <c r="Q327" s="59">
        <f t="shared" si="78"/>
        <v>0.42599999999999999</v>
      </c>
      <c r="R327" s="1"/>
      <c r="S327" s="1"/>
      <c r="U327" s="1"/>
      <c r="Y327" s="4"/>
      <c r="AJ327" s="5"/>
      <c r="AN327" s="1"/>
    </row>
    <row r="328" spans="1:41" ht="13.5" customHeight="1" x14ac:dyDescent="0.15">
      <c r="D328" s="439" t="s">
        <v>0</v>
      </c>
      <c r="E328" s="474"/>
      <c r="F328" s="54">
        <f>G328+H328+I328</f>
        <v>356</v>
      </c>
      <c r="G328" s="55">
        <v>49</v>
      </c>
      <c r="H328" s="55">
        <v>62</v>
      </c>
      <c r="I328" s="56">
        <v>245</v>
      </c>
      <c r="J328" s="54">
        <f>K328+L328+M328</f>
        <v>358</v>
      </c>
      <c r="K328" s="55">
        <v>39</v>
      </c>
      <c r="L328" s="55">
        <v>88</v>
      </c>
      <c r="M328" s="55">
        <v>231</v>
      </c>
      <c r="N328" s="55">
        <f>O328+P328+Q328</f>
        <v>393</v>
      </c>
      <c r="O328" s="55">
        <v>53</v>
      </c>
      <c r="P328" s="55">
        <v>104</v>
      </c>
      <c r="Q328" s="55">
        <v>236</v>
      </c>
      <c r="R328" s="1"/>
      <c r="S328" s="1"/>
      <c r="U328" s="1"/>
      <c r="Y328" s="4"/>
      <c r="AJ328" s="5"/>
      <c r="AN328" s="1"/>
    </row>
    <row r="329" spans="1:41" x14ac:dyDescent="0.15">
      <c r="D329" s="441"/>
      <c r="E329" s="475"/>
      <c r="F329" s="58">
        <f t="shared" ref="F329:Q329" si="79">ROUND(F328/(F$326+F$328),3)</f>
        <v>0.57299999999999995</v>
      </c>
      <c r="G329" s="59">
        <f t="shared" si="79"/>
        <v>0.74199999999999999</v>
      </c>
      <c r="H329" s="59">
        <f t="shared" si="79"/>
        <v>0.48799999999999999</v>
      </c>
      <c r="I329" s="60">
        <f t="shared" si="79"/>
        <v>0.57199999999999995</v>
      </c>
      <c r="J329" s="58">
        <f t="shared" si="79"/>
        <v>0.54500000000000004</v>
      </c>
      <c r="K329" s="59">
        <f t="shared" si="79"/>
        <v>0.66100000000000003</v>
      </c>
      <c r="L329" s="59">
        <f t="shared" si="79"/>
        <v>0.48099999999999998</v>
      </c>
      <c r="M329" s="59">
        <f t="shared" si="79"/>
        <v>0.55700000000000005</v>
      </c>
      <c r="N329" s="59">
        <f t="shared" si="79"/>
        <v>0.56299999999999994</v>
      </c>
      <c r="O329" s="59">
        <f t="shared" si="79"/>
        <v>0.70699999999999996</v>
      </c>
      <c r="P329" s="59">
        <f t="shared" si="79"/>
        <v>0.49099999999999999</v>
      </c>
      <c r="Q329" s="59">
        <f t="shared" si="79"/>
        <v>0.57399999999999995</v>
      </c>
      <c r="R329" s="1"/>
      <c r="S329" s="1"/>
      <c r="U329" s="1"/>
      <c r="Y329" s="4"/>
      <c r="AJ329" s="5"/>
      <c r="AN329" s="1"/>
    </row>
    <row r="330" spans="1:41" x14ac:dyDescent="0.15">
      <c r="D330" s="399" t="s">
        <v>53</v>
      </c>
      <c r="E330" s="453"/>
      <c r="F330" s="54">
        <f t="shared" ref="F330:Q331" si="80">F326+F328</f>
        <v>621</v>
      </c>
      <c r="G330" s="55">
        <f t="shared" si="80"/>
        <v>66</v>
      </c>
      <c r="H330" s="55">
        <f t="shared" si="80"/>
        <v>127</v>
      </c>
      <c r="I330" s="56">
        <f t="shared" si="80"/>
        <v>428</v>
      </c>
      <c r="J330" s="54">
        <f t="shared" si="80"/>
        <v>657</v>
      </c>
      <c r="K330" s="55">
        <f t="shared" si="80"/>
        <v>59</v>
      </c>
      <c r="L330" s="55">
        <f t="shared" si="80"/>
        <v>183</v>
      </c>
      <c r="M330" s="55">
        <f t="shared" si="80"/>
        <v>415</v>
      </c>
      <c r="N330" s="55">
        <f t="shared" si="80"/>
        <v>698</v>
      </c>
      <c r="O330" s="55">
        <f t="shared" si="80"/>
        <v>75</v>
      </c>
      <c r="P330" s="55">
        <f t="shared" si="80"/>
        <v>212</v>
      </c>
      <c r="Q330" s="55">
        <f t="shared" si="80"/>
        <v>411</v>
      </c>
      <c r="R330" s="1"/>
      <c r="S330" s="1"/>
      <c r="U330" s="1"/>
      <c r="Y330" s="4"/>
      <c r="AJ330" s="5"/>
      <c r="AN330" s="1"/>
    </row>
    <row r="331" spans="1:41" ht="14.25" thickBot="1" x14ac:dyDescent="0.2">
      <c r="D331" s="400"/>
      <c r="E331" s="454"/>
      <c r="F331" s="65">
        <f t="shared" si="80"/>
        <v>1</v>
      </c>
      <c r="G331" s="66">
        <f t="shared" si="80"/>
        <v>1</v>
      </c>
      <c r="H331" s="66">
        <f t="shared" si="80"/>
        <v>1</v>
      </c>
      <c r="I331" s="67">
        <f t="shared" si="80"/>
        <v>1</v>
      </c>
      <c r="J331" s="68">
        <f t="shared" si="80"/>
        <v>1</v>
      </c>
      <c r="K331" s="69">
        <f t="shared" si="80"/>
        <v>1</v>
      </c>
      <c r="L331" s="69">
        <f t="shared" si="80"/>
        <v>1</v>
      </c>
      <c r="M331" s="69">
        <f t="shared" si="80"/>
        <v>1</v>
      </c>
      <c r="N331" s="69">
        <f t="shared" si="80"/>
        <v>1</v>
      </c>
      <c r="O331" s="69">
        <f t="shared" si="80"/>
        <v>1</v>
      </c>
      <c r="P331" s="69">
        <f t="shared" si="80"/>
        <v>1</v>
      </c>
      <c r="Q331" s="69">
        <f t="shared" si="80"/>
        <v>1</v>
      </c>
      <c r="R331" s="1"/>
      <c r="S331" s="1"/>
      <c r="U331" s="1"/>
      <c r="Y331" s="4"/>
      <c r="AJ331" s="5"/>
      <c r="AN331" s="1"/>
    </row>
    <row r="333" spans="1:41" x14ac:dyDescent="0.15">
      <c r="A333" s="488" t="s">
        <v>115</v>
      </c>
      <c r="B333" s="488"/>
      <c r="C333" s="488"/>
      <c r="D333" s="488"/>
      <c r="E333" s="488"/>
      <c r="F333" s="488"/>
      <c r="G333" s="488"/>
      <c r="H333" s="488"/>
      <c r="R333" s="1"/>
      <c r="S333" s="1"/>
      <c r="AM333" s="5"/>
      <c r="AN333" s="1"/>
    </row>
    <row r="335" spans="1:41" ht="14.25" thickBot="1" x14ac:dyDescent="0.2">
      <c r="B335" s="10" t="s">
        <v>116</v>
      </c>
      <c r="G335" s="11"/>
      <c r="K335" s="52"/>
      <c r="O335" s="52"/>
    </row>
    <row r="336" spans="1:41" ht="18.75" customHeight="1" x14ac:dyDescent="0.15">
      <c r="D336" s="91"/>
      <c r="E336" s="92"/>
      <c r="F336" s="113"/>
      <c r="G336" s="444" t="s">
        <v>26</v>
      </c>
      <c r="H336" s="384"/>
      <c r="I336" s="384"/>
      <c r="J336" s="385"/>
      <c r="K336" s="503" t="s">
        <v>27</v>
      </c>
      <c r="L336" s="476"/>
      <c r="M336" s="476"/>
      <c r="N336" s="476"/>
      <c r="O336" s="399" t="s">
        <v>28</v>
      </c>
      <c r="P336" s="451"/>
      <c r="Q336" s="451"/>
      <c r="R336" s="452"/>
      <c r="S336" s="100"/>
      <c r="T336" s="12"/>
      <c r="U336" s="114"/>
      <c r="V336" s="12"/>
      <c r="W336" s="2"/>
      <c r="X336" s="2"/>
      <c r="AN336" s="1"/>
      <c r="AO336" s="5"/>
    </row>
    <row r="337" spans="4:41" x14ac:dyDescent="0.15">
      <c r="D337" s="93"/>
      <c r="E337" s="94"/>
      <c r="F337" s="94"/>
      <c r="G337" s="371"/>
      <c r="H337" s="364" t="s">
        <v>29</v>
      </c>
      <c r="I337" s="364" t="s">
        <v>30</v>
      </c>
      <c r="J337" s="374" t="s">
        <v>31</v>
      </c>
      <c r="K337" s="14"/>
      <c r="L337" s="15" t="s">
        <v>29</v>
      </c>
      <c r="M337" s="15" t="s">
        <v>30</v>
      </c>
      <c r="N337" s="375" t="s">
        <v>31</v>
      </c>
      <c r="O337" s="372"/>
      <c r="P337" s="364" t="s">
        <v>29</v>
      </c>
      <c r="Q337" s="364" t="s">
        <v>30</v>
      </c>
      <c r="R337" s="375" t="s">
        <v>31</v>
      </c>
      <c r="S337" s="101"/>
      <c r="T337" s="20"/>
      <c r="U337" s="115"/>
      <c r="V337" s="20"/>
      <c r="W337" s="2"/>
      <c r="X337" s="2"/>
      <c r="AN337" s="1"/>
      <c r="AO337" s="5"/>
    </row>
    <row r="338" spans="4:41" x14ac:dyDescent="0.15">
      <c r="D338" s="439" t="s">
        <v>117</v>
      </c>
      <c r="E338" s="440"/>
      <c r="F338" s="474"/>
      <c r="G338" s="54">
        <f>H338+I338+J338</f>
        <v>412</v>
      </c>
      <c r="H338" s="55">
        <v>16</v>
      </c>
      <c r="I338" s="55">
        <v>90</v>
      </c>
      <c r="J338" s="56">
        <v>306</v>
      </c>
      <c r="K338" s="54">
        <f>L338+M338+N338</f>
        <v>477</v>
      </c>
      <c r="L338" s="55">
        <v>15</v>
      </c>
      <c r="M338" s="55">
        <v>127</v>
      </c>
      <c r="N338" s="55">
        <v>335</v>
      </c>
      <c r="O338" s="55">
        <f>P338+Q338+R338</f>
        <v>491</v>
      </c>
      <c r="P338" s="55">
        <v>17</v>
      </c>
      <c r="Q338" s="55">
        <v>149</v>
      </c>
      <c r="R338" s="55">
        <v>325</v>
      </c>
      <c r="S338" s="102"/>
      <c r="T338" s="2"/>
      <c r="U338" s="13"/>
      <c r="V338" s="2"/>
      <c r="W338" s="2"/>
      <c r="X338" s="2"/>
      <c r="AN338" s="1"/>
      <c r="AO338" s="5"/>
    </row>
    <row r="339" spans="4:41" x14ac:dyDescent="0.15">
      <c r="D339" s="441"/>
      <c r="E339" s="442"/>
      <c r="F339" s="475"/>
      <c r="G339" s="58">
        <f t="shared" ref="G339:R339" si="81">ROUND(G338/(G$338+G$340+G$342+G$344+G$346+G$348),3)</f>
        <v>0.68799999999999994</v>
      </c>
      <c r="H339" s="59">
        <f t="shared" si="81"/>
        <v>0.25</v>
      </c>
      <c r="I339" s="59">
        <f t="shared" si="81"/>
        <v>0.70299999999999996</v>
      </c>
      <c r="J339" s="60">
        <f t="shared" si="81"/>
        <v>0.752</v>
      </c>
      <c r="K339" s="58">
        <f t="shared" si="81"/>
        <v>0.71899999999999997</v>
      </c>
      <c r="L339" s="59">
        <f t="shared" si="81"/>
        <v>0.254</v>
      </c>
      <c r="M339" s="59">
        <f t="shared" si="81"/>
        <v>0.68300000000000005</v>
      </c>
      <c r="N339" s="59">
        <f t="shared" si="81"/>
        <v>0.80100000000000005</v>
      </c>
      <c r="O339" s="59">
        <f t="shared" si="81"/>
        <v>0.69399999999999995</v>
      </c>
      <c r="P339" s="59">
        <f t="shared" si="81"/>
        <v>0.224</v>
      </c>
      <c r="Q339" s="59">
        <f t="shared" si="81"/>
        <v>0.68700000000000006</v>
      </c>
      <c r="R339" s="59">
        <f t="shared" si="81"/>
        <v>0.78300000000000003</v>
      </c>
      <c r="S339" s="78"/>
      <c r="T339" s="51"/>
      <c r="U339" s="13"/>
      <c r="V339" s="51"/>
      <c r="W339" s="2"/>
      <c r="X339" s="2"/>
      <c r="AN339" s="1"/>
      <c r="AO339" s="5"/>
    </row>
    <row r="340" spans="4:41" x14ac:dyDescent="0.15">
      <c r="D340" s="439" t="s">
        <v>118</v>
      </c>
      <c r="E340" s="440"/>
      <c r="F340" s="474"/>
      <c r="G340" s="54">
        <f>H340+I340+J340</f>
        <v>29</v>
      </c>
      <c r="H340" s="55">
        <v>3</v>
      </c>
      <c r="I340" s="55">
        <v>11</v>
      </c>
      <c r="J340" s="56">
        <v>15</v>
      </c>
      <c r="K340" s="54">
        <f>L340+M340+N340</f>
        <v>78</v>
      </c>
      <c r="L340" s="55">
        <v>20</v>
      </c>
      <c r="M340" s="55">
        <v>25</v>
      </c>
      <c r="N340" s="55">
        <v>33</v>
      </c>
      <c r="O340" s="55">
        <f>P340+Q340+R340</f>
        <v>92</v>
      </c>
      <c r="P340" s="55">
        <v>22</v>
      </c>
      <c r="Q340" s="55">
        <v>32</v>
      </c>
      <c r="R340" s="55">
        <v>38</v>
      </c>
      <c r="S340" s="102"/>
      <c r="T340" s="2"/>
      <c r="U340" s="13"/>
      <c r="V340" s="2"/>
      <c r="W340" s="2"/>
      <c r="X340" s="2"/>
      <c r="AN340" s="1"/>
      <c r="AO340" s="5"/>
    </row>
    <row r="341" spans="4:41" x14ac:dyDescent="0.15">
      <c r="D341" s="441"/>
      <c r="E341" s="442"/>
      <c r="F341" s="475"/>
      <c r="G341" s="58">
        <f>ROUND(G340/(G$338+G$340+G$342+G$344+G$346+G$348),3)</f>
        <v>4.8000000000000001E-2</v>
      </c>
      <c r="H341" s="59">
        <f>ROUND(H340/(H$338+H$340+H$342+H$344+H$346+H$348),3)+0.001</f>
        <v>4.8000000000000001E-2</v>
      </c>
      <c r="I341" s="59">
        <f>ROUND(I340/(I$338+I$340+I$342+I$344+I$346+I$348),3)</f>
        <v>8.5999999999999993E-2</v>
      </c>
      <c r="J341" s="60">
        <f>ROUND(J340/(J$338+J$340+J$342+J$344+J$346+J$348),3)-0.001</f>
        <v>3.5999999999999997E-2</v>
      </c>
      <c r="K341" s="58">
        <f>ROUND(K340/(K$338+K$340+K$342+K$344+K$346+K$348),3)</f>
        <v>0.11799999999999999</v>
      </c>
      <c r="L341" s="59">
        <f>ROUND(L340/(L$338+L$340+L$342+L$344+L$346+L$348),3)+0.001</f>
        <v>0.34</v>
      </c>
      <c r="M341" s="59">
        <f>ROUND(M340/(M$338+M$340+M$342+M$344+M$346+M$348),3)</f>
        <v>0.13400000000000001</v>
      </c>
      <c r="N341" s="59">
        <f>ROUND(N340/(N$338+N$340+N$342+N$344+N$346+N$348),3)-0.001</f>
        <v>7.8E-2</v>
      </c>
      <c r="O341" s="59">
        <f>ROUND(O340/(O$338+O$340+O$342+O$344+O$346+O$348),3)</f>
        <v>0.13</v>
      </c>
      <c r="P341" s="59">
        <f>ROUND(P340/(P$338+P$340+P$342+P$344+P$346+P$348),3)+0.001</f>
        <v>0.28999999999999998</v>
      </c>
      <c r="Q341" s="59">
        <f>ROUND(Q340/(Q$338+Q$340+Q$342+Q$344+Q$346+Q$348),3)</f>
        <v>0.14699999999999999</v>
      </c>
      <c r="R341" s="59">
        <f>ROUND(R340/(R$338+R$340+R$342+R$344+R$346+R$348),3)-0.001</f>
        <v>9.0999999999999998E-2</v>
      </c>
      <c r="S341" s="78"/>
      <c r="T341" s="51"/>
      <c r="U341" s="13"/>
      <c r="V341" s="51"/>
      <c r="W341" s="2"/>
      <c r="X341" s="2"/>
      <c r="AN341" s="1"/>
      <c r="AO341" s="5"/>
    </row>
    <row r="342" spans="4:41" x14ac:dyDescent="0.15">
      <c r="D342" s="439" t="s">
        <v>119</v>
      </c>
      <c r="E342" s="440"/>
      <c r="F342" s="474"/>
      <c r="G342" s="54">
        <f>H342+I342+J342</f>
        <v>17</v>
      </c>
      <c r="H342" s="55">
        <v>4</v>
      </c>
      <c r="I342" s="55">
        <v>7</v>
      </c>
      <c r="J342" s="56">
        <v>6</v>
      </c>
      <c r="K342" s="54">
        <f>L342+M342+N342</f>
        <v>31</v>
      </c>
      <c r="L342" s="55">
        <v>2</v>
      </c>
      <c r="M342" s="55">
        <v>18</v>
      </c>
      <c r="N342" s="55">
        <v>11</v>
      </c>
      <c r="O342" s="55">
        <f>P342+Q342+R342</f>
        <v>41</v>
      </c>
      <c r="P342" s="55">
        <v>4</v>
      </c>
      <c r="Q342" s="55">
        <v>18</v>
      </c>
      <c r="R342" s="55">
        <v>19</v>
      </c>
      <c r="S342" s="102"/>
      <c r="T342" s="2"/>
      <c r="U342" s="13"/>
      <c r="V342" s="2"/>
      <c r="W342" s="2"/>
      <c r="X342" s="2"/>
      <c r="AN342" s="1"/>
      <c r="AO342" s="5"/>
    </row>
    <row r="343" spans="4:41" x14ac:dyDescent="0.15">
      <c r="D343" s="441"/>
      <c r="E343" s="442"/>
      <c r="F343" s="475"/>
      <c r="G343" s="58">
        <f t="shared" ref="G343:R343" si="82">ROUND(G342/(G$338+G$340+G$342+G$344+G$346+G$348),3)</f>
        <v>2.8000000000000001E-2</v>
      </c>
      <c r="H343" s="59">
        <f t="shared" si="82"/>
        <v>6.3E-2</v>
      </c>
      <c r="I343" s="59">
        <f t="shared" si="82"/>
        <v>5.5E-2</v>
      </c>
      <c r="J343" s="60">
        <f t="shared" si="82"/>
        <v>1.4999999999999999E-2</v>
      </c>
      <c r="K343" s="58">
        <f t="shared" si="82"/>
        <v>4.7E-2</v>
      </c>
      <c r="L343" s="59">
        <f t="shared" si="82"/>
        <v>3.4000000000000002E-2</v>
      </c>
      <c r="M343" s="59">
        <f t="shared" si="82"/>
        <v>9.7000000000000003E-2</v>
      </c>
      <c r="N343" s="59">
        <f t="shared" si="82"/>
        <v>2.5999999999999999E-2</v>
      </c>
      <c r="O343" s="59">
        <f t="shared" si="82"/>
        <v>5.8000000000000003E-2</v>
      </c>
      <c r="P343" s="59">
        <f t="shared" si="82"/>
        <v>5.2999999999999999E-2</v>
      </c>
      <c r="Q343" s="59">
        <f t="shared" si="82"/>
        <v>8.3000000000000004E-2</v>
      </c>
      <c r="R343" s="59">
        <f t="shared" si="82"/>
        <v>4.5999999999999999E-2</v>
      </c>
      <c r="S343" s="78"/>
      <c r="T343" s="51"/>
      <c r="U343" s="13"/>
      <c r="V343" s="51"/>
      <c r="W343" s="2"/>
      <c r="X343" s="2"/>
      <c r="AN343" s="1"/>
      <c r="AO343" s="5"/>
    </row>
    <row r="344" spans="4:41" x14ac:dyDescent="0.15">
      <c r="D344" s="439" t="s">
        <v>1</v>
      </c>
      <c r="E344" s="440"/>
      <c r="F344" s="474"/>
      <c r="G344" s="54">
        <f>H344+I344+J344</f>
        <v>18</v>
      </c>
      <c r="H344" s="55">
        <v>8</v>
      </c>
      <c r="I344" s="55">
        <v>0</v>
      </c>
      <c r="J344" s="56">
        <v>10</v>
      </c>
      <c r="K344" s="54">
        <f>L344+M344+N344</f>
        <v>25</v>
      </c>
      <c r="L344" s="55">
        <v>7</v>
      </c>
      <c r="M344" s="55">
        <v>11</v>
      </c>
      <c r="N344" s="55">
        <v>7</v>
      </c>
      <c r="O344" s="55">
        <f>P344+Q344+R344</f>
        <v>25</v>
      </c>
      <c r="P344" s="55">
        <v>9</v>
      </c>
      <c r="Q344" s="55">
        <v>9</v>
      </c>
      <c r="R344" s="55">
        <v>7</v>
      </c>
      <c r="S344" s="102"/>
      <c r="T344" s="2"/>
      <c r="U344" s="13"/>
      <c r="V344" s="2"/>
      <c r="W344" s="2"/>
      <c r="X344" s="2"/>
      <c r="AN344" s="1"/>
      <c r="AO344" s="5"/>
    </row>
    <row r="345" spans="4:41" x14ac:dyDescent="0.15">
      <c r="D345" s="441"/>
      <c r="E345" s="442"/>
      <c r="F345" s="475"/>
      <c r="G345" s="58">
        <f t="shared" ref="G345:R345" si="83">ROUND(G344/(G$338+G$340+G$342+G$344+G$346+G$348),3)</f>
        <v>0.03</v>
      </c>
      <c r="H345" s="59">
        <f t="shared" si="83"/>
        <v>0.125</v>
      </c>
      <c r="I345" s="59">
        <f t="shared" si="83"/>
        <v>0</v>
      </c>
      <c r="J345" s="60">
        <f t="shared" si="83"/>
        <v>2.5000000000000001E-2</v>
      </c>
      <c r="K345" s="58">
        <f t="shared" si="83"/>
        <v>3.7999999999999999E-2</v>
      </c>
      <c r="L345" s="59">
        <f t="shared" si="83"/>
        <v>0.11899999999999999</v>
      </c>
      <c r="M345" s="59">
        <f t="shared" si="83"/>
        <v>5.8999999999999997E-2</v>
      </c>
      <c r="N345" s="59">
        <f t="shared" si="83"/>
        <v>1.7000000000000001E-2</v>
      </c>
      <c r="O345" s="59">
        <f t="shared" si="83"/>
        <v>3.5000000000000003E-2</v>
      </c>
      <c r="P345" s="59">
        <f t="shared" si="83"/>
        <v>0.11799999999999999</v>
      </c>
      <c r="Q345" s="59">
        <f t="shared" si="83"/>
        <v>4.1000000000000002E-2</v>
      </c>
      <c r="R345" s="59">
        <f t="shared" si="83"/>
        <v>1.7000000000000001E-2</v>
      </c>
      <c r="S345" s="78"/>
      <c r="T345" s="51"/>
      <c r="U345" s="13"/>
      <c r="V345" s="51"/>
      <c r="W345" s="2"/>
      <c r="X345" s="2"/>
      <c r="AN345" s="1"/>
      <c r="AO345" s="5"/>
    </row>
    <row r="346" spans="4:41" x14ac:dyDescent="0.15">
      <c r="D346" s="487" t="s">
        <v>120</v>
      </c>
      <c r="E346" s="440"/>
      <c r="F346" s="474"/>
      <c r="G346" s="54">
        <f>H346+I346+J346</f>
        <v>94</v>
      </c>
      <c r="H346" s="55">
        <v>26</v>
      </c>
      <c r="I346" s="55">
        <v>14</v>
      </c>
      <c r="J346" s="56">
        <v>54</v>
      </c>
      <c r="K346" s="54">
        <f>L346+M346+N346</f>
        <v>21</v>
      </c>
      <c r="L346" s="55">
        <v>6</v>
      </c>
      <c r="M346" s="55">
        <v>1</v>
      </c>
      <c r="N346" s="55">
        <v>14</v>
      </c>
      <c r="O346" s="55">
        <f>P346+Q346+R346</f>
        <v>17</v>
      </c>
      <c r="P346" s="55">
        <v>9</v>
      </c>
      <c r="Q346" s="55">
        <v>1</v>
      </c>
      <c r="R346" s="55">
        <v>7</v>
      </c>
      <c r="S346" s="102"/>
      <c r="T346" s="2"/>
      <c r="U346" s="13"/>
      <c r="V346" s="2"/>
      <c r="W346" s="2"/>
      <c r="X346" s="2"/>
      <c r="AN346" s="1"/>
      <c r="AO346" s="5"/>
    </row>
    <row r="347" spans="4:41" x14ac:dyDescent="0.15">
      <c r="D347" s="441"/>
      <c r="E347" s="442"/>
      <c r="F347" s="475"/>
      <c r="G347" s="58">
        <f t="shared" ref="G347:R347" si="84">ROUND(G346/(G$338+G$340+G$342+G$344+G$346+G$348),3)</f>
        <v>0.157</v>
      </c>
      <c r="H347" s="59">
        <f t="shared" si="84"/>
        <v>0.40600000000000003</v>
      </c>
      <c r="I347" s="59">
        <f t="shared" si="84"/>
        <v>0.109</v>
      </c>
      <c r="J347" s="60">
        <f t="shared" si="84"/>
        <v>0.13300000000000001</v>
      </c>
      <c r="K347" s="58">
        <f t="shared" si="84"/>
        <v>3.2000000000000001E-2</v>
      </c>
      <c r="L347" s="59">
        <f t="shared" si="84"/>
        <v>0.10199999999999999</v>
      </c>
      <c r="M347" s="59">
        <f t="shared" si="84"/>
        <v>5.0000000000000001E-3</v>
      </c>
      <c r="N347" s="59">
        <f t="shared" si="84"/>
        <v>3.3000000000000002E-2</v>
      </c>
      <c r="O347" s="59">
        <f t="shared" si="84"/>
        <v>2.4E-2</v>
      </c>
      <c r="P347" s="59">
        <f t="shared" si="84"/>
        <v>0.11799999999999999</v>
      </c>
      <c r="Q347" s="59">
        <f t="shared" si="84"/>
        <v>5.0000000000000001E-3</v>
      </c>
      <c r="R347" s="59">
        <f t="shared" si="84"/>
        <v>1.7000000000000001E-2</v>
      </c>
      <c r="S347" s="78"/>
      <c r="T347" s="51"/>
      <c r="U347" s="13"/>
      <c r="V347" s="51"/>
      <c r="W347" s="2"/>
      <c r="X347" s="2"/>
      <c r="AN347" s="1"/>
      <c r="AO347" s="5"/>
    </row>
    <row r="348" spans="4:41" x14ac:dyDescent="0.15">
      <c r="D348" s="439" t="s">
        <v>121</v>
      </c>
      <c r="E348" s="440"/>
      <c r="F348" s="474"/>
      <c r="G348" s="54">
        <f>H348+I348+J348</f>
        <v>29</v>
      </c>
      <c r="H348" s="55">
        <v>7</v>
      </c>
      <c r="I348" s="55">
        <v>6</v>
      </c>
      <c r="J348" s="56">
        <v>16</v>
      </c>
      <c r="K348" s="54">
        <f>L348+M348+N348</f>
        <v>31</v>
      </c>
      <c r="L348" s="55">
        <v>9</v>
      </c>
      <c r="M348" s="55">
        <v>4</v>
      </c>
      <c r="N348" s="55">
        <v>18</v>
      </c>
      <c r="O348" s="55">
        <f>P348+Q348+R348</f>
        <v>42</v>
      </c>
      <c r="P348" s="55">
        <v>15</v>
      </c>
      <c r="Q348" s="55">
        <v>8</v>
      </c>
      <c r="R348" s="55">
        <v>19</v>
      </c>
      <c r="S348" s="102"/>
      <c r="T348" s="2"/>
      <c r="U348" s="13"/>
      <c r="V348" s="2"/>
      <c r="W348" s="2"/>
      <c r="X348" s="2"/>
      <c r="AN348" s="1"/>
      <c r="AO348" s="5"/>
    </row>
    <row r="349" spans="4:41" x14ac:dyDescent="0.15">
      <c r="D349" s="441"/>
      <c r="E349" s="442"/>
      <c r="F349" s="475"/>
      <c r="G349" s="58">
        <f t="shared" ref="G349:R349" si="85">ROUND(G348/(G$338+G$340+G$342+G$344+G$346+G$348),3)</f>
        <v>4.8000000000000001E-2</v>
      </c>
      <c r="H349" s="59">
        <f t="shared" si="85"/>
        <v>0.109</v>
      </c>
      <c r="I349" s="59">
        <f t="shared" si="85"/>
        <v>4.7E-2</v>
      </c>
      <c r="J349" s="60">
        <f t="shared" si="85"/>
        <v>3.9E-2</v>
      </c>
      <c r="K349" s="58">
        <f t="shared" si="85"/>
        <v>4.7E-2</v>
      </c>
      <c r="L349" s="59">
        <f t="shared" si="85"/>
        <v>0.153</v>
      </c>
      <c r="M349" s="59">
        <f t="shared" si="85"/>
        <v>2.1999999999999999E-2</v>
      </c>
      <c r="N349" s="59">
        <f t="shared" si="85"/>
        <v>4.2999999999999997E-2</v>
      </c>
      <c r="O349" s="59">
        <f t="shared" si="85"/>
        <v>5.8999999999999997E-2</v>
      </c>
      <c r="P349" s="59">
        <f t="shared" si="85"/>
        <v>0.19700000000000001</v>
      </c>
      <c r="Q349" s="59">
        <f t="shared" si="85"/>
        <v>3.6999999999999998E-2</v>
      </c>
      <c r="R349" s="59">
        <f t="shared" si="85"/>
        <v>4.5999999999999999E-2</v>
      </c>
      <c r="S349" s="78"/>
      <c r="T349" s="51"/>
      <c r="U349" s="13"/>
      <c r="V349" s="51"/>
      <c r="W349" s="2"/>
      <c r="X349" s="2"/>
      <c r="AN349" s="1"/>
      <c r="AO349" s="5"/>
    </row>
    <row r="350" spans="4:41" x14ac:dyDescent="0.15">
      <c r="D350" s="399" t="s">
        <v>53</v>
      </c>
      <c r="E350" s="386"/>
      <c r="F350" s="453"/>
      <c r="G350" s="116">
        <f t="shared" ref="G350:R351" si="86">G338+G340+G342+G344+G346+G348</f>
        <v>599</v>
      </c>
      <c r="H350" s="55">
        <f t="shared" si="86"/>
        <v>64</v>
      </c>
      <c r="I350" s="63">
        <f t="shared" si="86"/>
        <v>128</v>
      </c>
      <c r="J350" s="56">
        <f t="shared" si="86"/>
        <v>407</v>
      </c>
      <c r="K350" s="54">
        <f t="shared" si="86"/>
        <v>663</v>
      </c>
      <c r="L350" s="55">
        <f t="shared" si="86"/>
        <v>59</v>
      </c>
      <c r="M350" s="55">
        <f t="shared" si="86"/>
        <v>186</v>
      </c>
      <c r="N350" s="55">
        <f t="shared" si="86"/>
        <v>418</v>
      </c>
      <c r="O350" s="111">
        <f t="shared" si="86"/>
        <v>708</v>
      </c>
      <c r="P350" s="80">
        <f t="shared" si="86"/>
        <v>76</v>
      </c>
      <c r="Q350" s="87">
        <f t="shared" si="86"/>
        <v>217</v>
      </c>
      <c r="R350" s="55">
        <f t="shared" si="86"/>
        <v>415</v>
      </c>
      <c r="S350" s="102"/>
      <c r="T350" s="2"/>
      <c r="U350" s="13"/>
      <c r="V350" s="2"/>
      <c r="W350" s="2"/>
      <c r="X350" s="2"/>
      <c r="AN350" s="1"/>
      <c r="AO350" s="5"/>
    </row>
    <row r="351" spans="4:41" ht="14.25" thickBot="1" x14ac:dyDescent="0.2">
      <c r="D351" s="400"/>
      <c r="E351" s="443"/>
      <c r="F351" s="454"/>
      <c r="G351" s="117">
        <f t="shared" si="86"/>
        <v>0.99900000000000011</v>
      </c>
      <c r="H351" s="66">
        <f t="shared" si="86"/>
        <v>1.0010000000000001</v>
      </c>
      <c r="I351" s="118">
        <f t="shared" si="86"/>
        <v>1</v>
      </c>
      <c r="J351" s="67">
        <f t="shared" si="86"/>
        <v>1</v>
      </c>
      <c r="K351" s="68">
        <f t="shared" si="86"/>
        <v>1.0010000000000001</v>
      </c>
      <c r="L351" s="69">
        <f t="shared" si="86"/>
        <v>1.002</v>
      </c>
      <c r="M351" s="69">
        <f t="shared" si="86"/>
        <v>1</v>
      </c>
      <c r="N351" s="69">
        <f t="shared" si="86"/>
        <v>0.99800000000000011</v>
      </c>
      <c r="O351" s="89">
        <f t="shared" si="86"/>
        <v>1</v>
      </c>
      <c r="P351" s="69">
        <f t="shared" si="86"/>
        <v>1</v>
      </c>
      <c r="Q351" s="71">
        <f t="shared" si="86"/>
        <v>1</v>
      </c>
      <c r="R351" s="69">
        <f t="shared" si="86"/>
        <v>1</v>
      </c>
      <c r="S351" s="104"/>
      <c r="T351" s="72"/>
      <c r="U351" s="13"/>
      <c r="V351" s="72"/>
      <c r="W351" s="46" t="s">
        <v>122</v>
      </c>
      <c r="X351" s="2"/>
      <c r="AN351" s="1"/>
      <c r="AO351" s="5"/>
    </row>
    <row r="352" spans="4:41" x14ac:dyDescent="0.15">
      <c r="D352" s="100"/>
      <c r="E352" s="100"/>
      <c r="F352" s="100"/>
      <c r="G352" s="78"/>
      <c r="H352" s="78"/>
      <c r="I352" s="78"/>
      <c r="J352" s="78"/>
      <c r="K352" s="78"/>
      <c r="L352" s="78"/>
      <c r="M352" s="78"/>
      <c r="N352" s="78"/>
      <c r="O352" s="90"/>
      <c r="P352" s="78"/>
      <c r="Q352" s="78"/>
      <c r="R352" s="78"/>
      <c r="S352" s="78"/>
      <c r="T352" s="72"/>
      <c r="U352" s="13"/>
      <c r="V352" s="72"/>
      <c r="W352" s="46"/>
      <c r="X352" s="2"/>
      <c r="AN352" s="1"/>
      <c r="AO352" s="5"/>
    </row>
    <row r="353" spans="4:41" x14ac:dyDescent="0.15">
      <c r="D353" s="100"/>
      <c r="E353" s="100"/>
      <c r="F353" s="100"/>
      <c r="G353" s="78"/>
      <c r="H353" s="78"/>
      <c r="I353" s="78"/>
      <c r="J353" s="78"/>
      <c r="K353" s="78"/>
      <c r="L353" s="78"/>
      <c r="M353" s="78"/>
      <c r="N353" s="78"/>
      <c r="O353" s="90"/>
      <c r="P353" s="78"/>
      <c r="Q353" s="78"/>
      <c r="R353" s="78"/>
      <c r="S353" s="78"/>
      <c r="T353" s="72" t="s">
        <v>117</v>
      </c>
      <c r="U353" s="13">
        <v>412</v>
      </c>
      <c r="V353" s="72"/>
      <c r="W353" s="46"/>
      <c r="X353" s="2"/>
      <c r="AN353" s="1"/>
      <c r="AO353" s="5"/>
    </row>
    <row r="354" spans="4:41" x14ac:dyDescent="0.15">
      <c r="D354" s="100"/>
      <c r="E354" s="100"/>
      <c r="F354" s="100"/>
      <c r="G354" s="78"/>
      <c r="H354" s="78"/>
      <c r="I354" s="78"/>
      <c r="J354" s="78"/>
      <c r="K354" s="78"/>
      <c r="L354" s="78"/>
      <c r="M354" s="78"/>
      <c r="N354" s="78"/>
      <c r="O354" s="90"/>
      <c r="P354" s="78"/>
      <c r="Q354" s="78"/>
      <c r="R354" s="78"/>
      <c r="S354" s="78"/>
      <c r="T354" s="72" t="s">
        <v>118</v>
      </c>
      <c r="U354" s="13">
        <v>29</v>
      </c>
      <c r="V354" s="72"/>
      <c r="W354" s="46"/>
      <c r="X354" s="2"/>
      <c r="AN354" s="1"/>
      <c r="AO354" s="5"/>
    </row>
    <row r="355" spans="4:41" x14ac:dyDescent="0.15">
      <c r="D355" s="100"/>
      <c r="E355" s="100"/>
      <c r="F355" s="100"/>
      <c r="G355" s="78"/>
      <c r="H355" s="78"/>
      <c r="I355" s="78"/>
      <c r="J355" s="78"/>
      <c r="K355" s="78"/>
      <c r="L355" s="78"/>
      <c r="M355" s="78"/>
      <c r="N355" s="78"/>
      <c r="O355" s="90"/>
      <c r="P355" s="78"/>
      <c r="Q355" s="78"/>
      <c r="R355" s="78"/>
      <c r="S355" s="78"/>
      <c r="T355" s="72" t="s">
        <v>119</v>
      </c>
      <c r="U355" s="13">
        <v>17</v>
      </c>
      <c r="V355" s="72"/>
      <c r="W355" s="46"/>
      <c r="X355" s="2"/>
      <c r="AN355" s="1"/>
      <c r="AO355" s="5"/>
    </row>
    <row r="356" spans="4:41" x14ac:dyDescent="0.15">
      <c r="D356" s="100"/>
      <c r="E356" s="100"/>
      <c r="F356" s="100"/>
      <c r="G356" s="78"/>
      <c r="H356" s="78"/>
      <c r="I356" s="78"/>
      <c r="J356" s="78"/>
      <c r="K356" s="78"/>
      <c r="L356" s="78"/>
      <c r="M356" s="78"/>
      <c r="N356" s="78"/>
      <c r="O356" s="90"/>
      <c r="P356" s="78"/>
      <c r="Q356" s="78"/>
      <c r="R356" s="78"/>
      <c r="S356" s="78"/>
      <c r="T356" s="72" t="s">
        <v>1</v>
      </c>
      <c r="U356" s="13">
        <v>18</v>
      </c>
      <c r="V356" s="72"/>
      <c r="W356" s="46"/>
      <c r="X356" s="2"/>
      <c r="AN356" s="1"/>
      <c r="AO356" s="5"/>
    </row>
    <row r="357" spans="4:41" x14ac:dyDescent="0.15">
      <c r="D357" s="100"/>
      <c r="E357" s="100"/>
      <c r="F357" s="100"/>
      <c r="G357" s="78"/>
      <c r="H357" s="78"/>
      <c r="I357" s="78"/>
      <c r="J357" s="78"/>
      <c r="K357" s="78"/>
      <c r="L357" s="78"/>
      <c r="M357" s="78"/>
      <c r="N357" s="78"/>
      <c r="O357" s="90"/>
      <c r="P357" s="78"/>
      <c r="Q357" s="78"/>
      <c r="R357" s="78"/>
      <c r="S357" s="78"/>
      <c r="T357" s="72" t="s">
        <v>120</v>
      </c>
      <c r="U357" s="13">
        <v>94</v>
      </c>
      <c r="V357" s="72"/>
      <c r="W357" s="46"/>
      <c r="X357" s="2"/>
      <c r="AN357" s="1"/>
      <c r="AO357" s="5"/>
    </row>
    <row r="358" spans="4:41" x14ac:dyDescent="0.15">
      <c r="D358" s="100"/>
      <c r="E358" s="100"/>
      <c r="F358" s="100"/>
      <c r="G358" s="78"/>
      <c r="H358" s="78"/>
      <c r="I358" s="78"/>
      <c r="J358" s="78"/>
      <c r="K358" s="78"/>
      <c r="L358" s="78"/>
      <c r="M358" s="78"/>
      <c r="N358" s="78"/>
      <c r="O358" s="90"/>
      <c r="P358" s="78"/>
      <c r="Q358" s="78"/>
      <c r="R358" s="78"/>
      <c r="S358" s="78"/>
      <c r="T358" s="72" t="s">
        <v>121</v>
      </c>
      <c r="U358" s="13">
        <v>29</v>
      </c>
      <c r="V358" s="72"/>
      <c r="W358" s="46"/>
      <c r="X358" s="2"/>
      <c r="AN358" s="1"/>
      <c r="AO358" s="5"/>
    </row>
    <row r="359" spans="4:41" x14ac:dyDescent="0.15">
      <c r="D359" s="100"/>
      <c r="E359" s="100"/>
      <c r="F359" s="100"/>
      <c r="G359" s="78"/>
      <c r="H359" s="78"/>
      <c r="I359" s="78"/>
      <c r="J359" s="78"/>
      <c r="K359" s="78"/>
      <c r="L359" s="78"/>
      <c r="M359" s="78"/>
      <c r="N359" s="78"/>
      <c r="O359" s="90"/>
      <c r="P359" s="78"/>
      <c r="Q359" s="78"/>
      <c r="R359" s="78"/>
      <c r="S359" s="78"/>
      <c r="U359" s="13"/>
      <c r="V359" s="72"/>
      <c r="W359" s="46"/>
      <c r="X359" s="2"/>
      <c r="AN359" s="1"/>
      <c r="AO359" s="5"/>
    </row>
    <row r="360" spans="4:41" x14ac:dyDescent="0.15">
      <c r="D360" s="100"/>
      <c r="E360" s="100"/>
      <c r="F360" s="100"/>
      <c r="G360" s="78"/>
      <c r="H360" s="78"/>
      <c r="I360" s="78"/>
      <c r="J360" s="78"/>
      <c r="K360" s="78"/>
      <c r="L360" s="78"/>
      <c r="M360" s="78"/>
      <c r="N360" s="78"/>
      <c r="O360" s="90"/>
      <c r="P360" s="78"/>
      <c r="Q360" s="78"/>
      <c r="R360" s="78"/>
      <c r="S360" s="78"/>
      <c r="T360" s="72"/>
      <c r="U360" s="13"/>
      <c r="V360" s="72"/>
      <c r="W360" s="46"/>
      <c r="X360" s="2"/>
      <c r="AN360" s="1"/>
      <c r="AO360" s="5"/>
    </row>
    <row r="361" spans="4:41" x14ac:dyDescent="0.15">
      <c r="D361" s="100"/>
      <c r="E361" s="100"/>
      <c r="F361" s="100"/>
      <c r="G361" s="78"/>
      <c r="H361" s="78"/>
      <c r="I361" s="78"/>
      <c r="J361" s="78"/>
      <c r="K361" s="78"/>
      <c r="L361" s="78"/>
      <c r="M361" s="78"/>
      <c r="N361" s="78"/>
      <c r="O361" s="90"/>
      <c r="P361" s="78"/>
      <c r="Q361" s="78"/>
      <c r="R361" s="78"/>
      <c r="S361" s="78"/>
      <c r="U361" s="13"/>
      <c r="V361" s="72"/>
      <c r="W361" s="46"/>
      <c r="X361" s="2"/>
      <c r="AN361" s="1"/>
      <c r="AO361" s="5"/>
    </row>
    <row r="362" spans="4:41" x14ac:dyDescent="0.15">
      <c r="D362" s="100"/>
      <c r="E362" s="100"/>
      <c r="F362" s="100"/>
      <c r="G362" s="78"/>
      <c r="H362" s="78"/>
      <c r="I362" s="78"/>
      <c r="J362" s="78"/>
      <c r="K362" s="78"/>
      <c r="L362" s="78"/>
      <c r="M362" s="78"/>
      <c r="N362" s="78"/>
      <c r="O362" s="90"/>
      <c r="P362" s="78"/>
      <c r="Q362" s="78"/>
      <c r="R362" s="78"/>
      <c r="S362" s="78"/>
      <c r="T362" s="72"/>
      <c r="U362" s="13"/>
      <c r="V362" s="72"/>
      <c r="W362" s="46"/>
      <c r="X362" s="2"/>
      <c r="AN362" s="1"/>
      <c r="AO362" s="5"/>
    </row>
    <row r="363" spans="4:41" x14ac:dyDescent="0.15">
      <c r="D363" s="100"/>
      <c r="E363" s="100"/>
      <c r="F363" s="100"/>
      <c r="G363" s="78"/>
      <c r="H363" s="78"/>
      <c r="I363" s="78"/>
      <c r="J363" s="78"/>
      <c r="K363" s="78"/>
      <c r="L363" s="78"/>
      <c r="M363" s="78"/>
      <c r="N363" s="78"/>
      <c r="O363" s="90"/>
      <c r="P363" s="78"/>
      <c r="Q363" s="78"/>
      <c r="R363" s="78"/>
      <c r="S363" s="78"/>
      <c r="U363" s="13"/>
      <c r="V363" s="72"/>
      <c r="W363" s="46"/>
      <c r="X363" s="2"/>
      <c r="AN363" s="1"/>
      <c r="AO363" s="5"/>
    </row>
    <row r="364" spans="4:41" x14ac:dyDescent="0.15">
      <c r="D364" s="100"/>
      <c r="E364" s="100"/>
      <c r="F364" s="100"/>
      <c r="G364" s="78"/>
      <c r="H364" s="78"/>
      <c r="I364" s="78"/>
      <c r="J364" s="78"/>
      <c r="K364" s="78"/>
      <c r="L364" s="78"/>
      <c r="M364" s="78"/>
      <c r="N364" s="78"/>
      <c r="O364" s="90"/>
      <c r="P364" s="78"/>
      <c r="Q364" s="78"/>
      <c r="R364" s="78"/>
      <c r="S364" s="78"/>
      <c r="T364" s="72"/>
      <c r="U364" s="13"/>
      <c r="V364" s="72"/>
      <c r="W364" s="46"/>
      <c r="X364" s="2"/>
      <c r="AN364" s="1"/>
      <c r="AO364" s="5"/>
    </row>
    <row r="365" spans="4:41" x14ac:dyDescent="0.15">
      <c r="D365" s="100"/>
      <c r="E365" s="100"/>
      <c r="F365" s="100"/>
      <c r="G365" s="78"/>
      <c r="H365" s="78"/>
      <c r="I365" s="78"/>
      <c r="J365" s="78"/>
      <c r="K365" s="78"/>
      <c r="L365" s="78"/>
      <c r="M365" s="78"/>
      <c r="N365" s="78"/>
      <c r="O365" s="90"/>
      <c r="P365" s="78"/>
      <c r="Q365" s="78"/>
      <c r="R365" s="78"/>
      <c r="S365" s="78"/>
      <c r="T365" s="72"/>
      <c r="U365" s="13"/>
      <c r="V365" s="72"/>
      <c r="W365" s="46"/>
      <c r="X365" s="2"/>
      <c r="AN365" s="1"/>
      <c r="AO365" s="5"/>
    </row>
    <row r="366" spans="4:41" x14ac:dyDescent="0.15">
      <c r="D366" s="100"/>
      <c r="E366" s="100"/>
      <c r="F366" s="100"/>
      <c r="G366" s="78"/>
      <c r="H366" s="78"/>
      <c r="I366" s="78"/>
      <c r="J366" s="78"/>
      <c r="K366" s="78"/>
      <c r="L366" s="78"/>
      <c r="M366" s="78"/>
      <c r="N366" s="78"/>
      <c r="O366" s="90"/>
      <c r="P366" s="78"/>
      <c r="Q366" s="78"/>
      <c r="R366" s="78"/>
      <c r="S366" s="78"/>
      <c r="T366" s="72"/>
      <c r="U366" s="13"/>
      <c r="V366" s="72"/>
      <c r="W366" s="46"/>
      <c r="X366" s="2"/>
      <c r="AN366" s="1"/>
      <c r="AO366" s="5"/>
    </row>
    <row r="367" spans="4:41" x14ac:dyDescent="0.15">
      <c r="D367" s="100"/>
      <c r="E367" s="100"/>
      <c r="F367" s="100"/>
      <c r="G367" s="78"/>
      <c r="H367" s="78"/>
      <c r="I367" s="78"/>
      <c r="J367" s="78"/>
      <c r="K367" s="78"/>
      <c r="L367" s="78"/>
      <c r="M367" s="78"/>
      <c r="N367" s="78"/>
      <c r="O367" s="90"/>
      <c r="P367" s="78"/>
      <c r="Q367" s="78"/>
      <c r="R367" s="78"/>
      <c r="S367" s="78"/>
      <c r="T367" s="72"/>
      <c r="U367" s="13"/>
      <c r="V367" s="72"/>
      <c r="W367" s="46"/>
      <c r="X367" s="2"/>
      <c r="AN367" s="1"/>
      <c r="AO367" s="5"/>
    </row>
    <row r="368" spans="4:41" x14ac:dyDescent="0.15">
      <c r="D368" s="100"/>
      <c r="E368" s="100"/>
      <c r="F368" s="100"/>
      <c r="G368" s="78"/>
      <c r="H368" s="78"/>
      <c r="I368" s="78"/>
      <c r="J368" s="78"/>
      <c r="K368" s="78"/>
      <c r="L368" s="78"/>
      <c r="M368" s="78"/>
      <c r="N368" s="78"/>
      <c r="O368" s="90"/>
      <c r="P368" s="78"/>
      <c r="Q368" s="78"/>
      <c r="R368" s="78"/>
      <c r="S368" s="78"/>
      <c r="T368" s="72"/>
      <c r="U368" s="13"/>
      <c r="V368" s="72"/>
      <c r="W368" s="46"/>
      <c r="X368" s="2"/>
      <c r="AN368" s="1"/>
      <c r="AO368" s="5"/>
    </row>
    <row r="369" spans="2:41" x14ac:dyDescent="0.15">
      <c r="D369" s="100"/>
      <c r="E369" s="100"/>
      <c r="F369" s="100"/>
      <c r="G369" s="78"/>
      <c r="H369" s="78"/>
      <c r="I369" s="78"/>
      <c r="J369" s="78"/>
      <c r="K369" s="78"/>
      <c r="L369" s="78"/>
      <c r="M369" s="78"/>
      <c r="N369" s="78"/>
      <c r="O369" s="90"/>
      <c r="P369" s="78"/>
      <c r="Q369" s="78"/>
      <c r="R369" s="78"/>
      <c r="S369" s="78"/>
      <c r="T369" s="72"/>
      <c r="U369" s="13"/>
      <c r="V369" s="72"/>
      <c r="W369" s="46"/>
      <c r="X369" s="2"/>
      <c r="AN369" s="1"/>
      <c r="AO369" s="5"/>
    </row>
    <row r="370" spans="2:41" x14ac:dyDescent="0.15">
      <c r="D370" s="100"/>
      <c r="E370" s="100"/>
      <c r="F370" s="100"/>
      <c r="G370" s="78"/>
      <c r="H370" s="78"/>
      <c r="I370" s="78"/>
      <c r="J370" s="78"/>
      <c r="K370" s="78"/>
      <c r="L370" s="78"/>
      <c r="M370" s="78"/>
      <c r="N370" s="78"/>
      <c r="O370" s="90"/>
      <c r="P370" s="78"/>
      <c r="Q370" s="78"/>
      <c r="R370" s="78"/>
      <c r="S370" s="78"/>
      <c r="T370" s="72"/>
      <c r="U370" s="13"/>
      <c r="V370" s="72"/>
      <c r="W370" s="46"/>
      <c r="X370" s="2"/>
      <c r="AN370" s="1"/>
      <c r="AO370" s="5"/>
    </row>
    <row r="371" spans="2:41" x14ac:dyDescent="0.15">
      <c r="D371" s="100"/>
      <c r="E371" s="100"/>
      <c r="F371" s="100"/>
      <c r="G371" s="78"/>
      <c r="H371" s="78"/>
      <c r="I371" s="78"/>
      <c r="J371" s="78"/>
      <c r="K371" s="78"/>
      <c r="L371" s="78"/>
      <c r="M371" s="78"/>
      <c r="N371" s="78"/>
      <c r="O371" s="90"/>
      <c r="P371" s="78"/>
      <c r="Q371" s="78"/>
      <c r="R371" s="78"/>
      <c r="S371" s="78"/>
      <c r="T371" s="72"/>
      <c r="U371" s="13"/>
      <c r="V371" s="72"/>
      <c r="W371" s="46"/>
      <c r="X371" s="2"/>
      <c r="AN371" s="1"/>
      <c r="AO371" s="5"/>
    </row>
    <row r="372" spans="2:41" x14ac:dyDescent="0.15">
      <c r="D372" s="100"/>
      <c r="E372" s="100"/>
      <c r="F372" s="100"/>
      <c r="G372" s="78"/>
      <c r="H372" s="78"/>
      <c r="I372" s="78"/>
      <c r="J372" s="78"/>
      <c r="K372" s="78"/>
      <c r="L372" s="78"/>
      <c r="M372" s="78"/>
      <c r="N372" s="78"/>
      <c r="O372" s="90"/>
      <c r="P372" s="78"/>
      <c r="Q372" s="78"/>
      <c r="R372" s="78"/>
      <c r="S372" s="78"/>
      <c r="T372" s="72"/>
      <c r="U372" s="13"/>
      <c r="V372" s="72"/>
      <c r="W372" s="46"/>
      <c r="X372" s="2"/>
      <c r="AN372" s="1"/>
      <c r="AO372" s="5"/>
    </row>
    <row r="373" spans="2:41" x14ac:dyDescent="0.15">
      <c r="D373" s="100"/>
      <c r="E373" s="100"/>
      <c r="F373" s="100"/>
      <c r="G373" s="78"/>
      <c r="H373" s="78"/>
      <c r="I373" s="78"/>
      <c r="J373" s="78"/>
      <c r="K373" s="78"/>
      <c r="L373" s="78"/>
      <c r="M373" s="78"/>
      <c r="N373" s="78"/>
      <c r="O373" s="90"/>
      <c r="P373" s="78"/>
      <c r="Q373" s="78"/>
      <c r="R373" s="78"/>
      <c r="S373" s="78"/>
      <c r="T373" s="72"/>
      <c r="U373" s="13"/>
      <c r="V373" s="72"/>
      <c r="W373" s="46"/>
      <c r="X373" s="2"/>
      <c r="AN373" s="1"/>
      <c r="AO373" s="5"/>
    </row>
    <row r="374" spans="2:41" ht="14.25" thickBot="1" x14ac:dyDescent="0.2">
      <c r="B374" s="10" t="s">
        <v>123</v>
      </c>
      <c r="D374" s="100"/>
      <c r="E374" s="100"/>
      <c r="F374" s="100"/>
      <c r="G374" s="78"/>
      <c r="H374" s="78"/>
      <c r="I374" s="78"/>
      <c r="J374" s="78"/>
      <c r="K374" s="78"/>
      <c r="L374" s="78"/>
      <c r="M374" s="78"/>
      <c r="N374" s="78"/>
      <c r="O374" s="90"/>
      <c r="P374" s="78"/>
      <c r="Q374" s="78"/>
      <c r="R374" s="78"/>
      <c r="S374" s="78"/>
      <c r="T374" s="72"/>
      <c r="U374" s="13"/>
      <c r="V374" s="72"/>
      <c r="W374" s="46"/>
      <c r="X374" s="2"/>
      <c r="AN374" s="1"/>
      <c r="AO374" s="5"/>
    </row>
    <row r="375" spans="2:41" ht="12.95" customHeight="1" x14ac:dyDescent="0.15">
      <c r="D375" s="91"/>
      <c r="E375" s="92"/>
      <c r="F375" s="444" t="s">
        <v>26</v>
      </c>
      <c r="G375" s="455"/>
      <c r="H375" s="455"/>
      <c r="I375" s="456"/>
      <c r="J375" s="467" t="s">
        <v>27</v>
      </c>
      <c r="K375" s="451"/>
      <c r="L375" s="451"/>
      <c r="M375" s="452"/>
      <c r="N375" s="476" t="s">
        <v>28</v>
      </c>
      <c r="O375" s="449"/>
      <c r="P375" s="449"/>
      <c r="Q375" s="449"/>
      <c r="R375" s="1"/>
      <c r="S375" s="1"/>
      <c r="U375" s="1"/>
      <c r="Y375" s="4"/>
      <c r="AJ375" s="5"/>
      <c r="AN375" s="1"/>
    </row>
    <row r="376" spans="2:41" ht="12.95" customHeight="1" x14ac:dyDescent="0.15">
      <c r="D376" s="93"/>
      <c r="E376" s="94"/>
      <c r="F376" s="371"/>
      <c r="G376" s="364" t="s">
        <v>29</v>
      </c>
      <c r="H376" s="364" t="s">
        <v>30</v>
      </c>
      <c r="I376" s="374" t="s">
        <v>31</v>
      </c>
      <c r="J376" s="14"/>
      <c r="K376" s="15" t="s">
        <v>29</v>
      </c>
      <c r="L376" s="15" t="s">
        <v>30</v>
      </c>
      <c r="M376" s="375" t="s">
        <v>31</v>
      </c>
      <c r="N376" s="372"/>
      <c r="O376" s="364" t="s">
        <v>29</v>
      </c>
      <c r="P376" s="364" t="s">
        <v>30</v>
      </c>
      <c r="Q376" s="375" t="s">
        <v>31</v>
      </c>
      <c r="R376" s="1"/>
      <c r="S376" s="1"/>
      <c r="U376" s="1"/>
      <c r="Y376" s="4"/>
      <c r="AJ376" s="5"/>
      <c r="AN376" s="1"/>
    </row>
    <row r="377" spans="2:41" ht="12.95" customHeight="1" x14ac:dyDescent="0.15">
      <c r="D377" s="487" t="s">
        <v>124</v>
      </c>
      <c r="E377" s="440"/>
      <c r="F377" s="54">
        <f>G377+H377+I377</f>
        <v>233</v>
      </c>
      <c r="G377" s="55">
        <v>47</v>
      </c>
      <c r="H377" s="55">
        <v>39</v>
      </c>
      <c r="I377" s="56">
        <v>147</v>
      </c>
      <c r="J377" s="54">
        <f>K377+L377+M377</f>
        <v>248</v>
      </c>
      <c r="K377" s="55">
        <v>45</v>
      </c>
      <c r="L377" s="55">
        <v>67</v>
      </c>
      <c r="M377" s="55">
        <v>136</v>
      </c>
      <c r="N377" s="55">
        <f>O377+P377+Q377</f>
        <v>319</v>
      </c>
      <c r="O377" s="55">
        <v>65</v>
      </c>
      <c r="P377" s="55">
        <v>83</v>
      </c>
      <c r="Q377" s="55">
        <v>171</v>
      </c>
      <c r="R377" s="1"/>
      <c r="S377" s="1"/>
      <c r="U377" s="1"/>
      <c r="Y377" s="4"/>
      <c r="AJ377" s="5"/>
      <c r="AN377" s="1"/>
    </row>
    <row r="378" spans="2:41" ht="12.95" customHeight="1" x14ac:dyDescent="0.15">
      <c r="D378" s="441"/>
      <c r="E378" s="442"/>
      <c r="F378" s="58">
        <f t="shared" ref="F378:N378" si="87">ROUND(F377/(F$377+F$379+F$381),3)</f>
        <v>0.41</v>
      </c>
      <c r="G378" s="59">
        <f t="shared" si="87"/>
        <v>0.78300000000000003</v>
      </c>
      <c r="H378" s="59">
        <f t="shared" si="87"/>
        <v>0.31</v>
      </c>
      <c r="I378" s="60">
        <f t="shared" si="87"/>
        <v>0.38500000000000001</v>
      </c>
      <c r="J378" s="58">
        <f t="shared" si="87"/>
        <v>0.37</v>
      </c>
      <c r="K378" s="59">
        <f t="shared" si="87"/>
        <v>0.73799999999999999</v>
      </c>
      <c r="L378" s="59">
        <f t="shared" si="87"/>
        <v>0.36</v>
      </c>
      <c r="M378" s="59">
        <f t="shared" si="87"/>
        <v>0.32200000000000001</v>
      </c>
      <c r="N378" s="59">
        <f t="shared" si="87"/>
        <v>0.46200000000000002</v>
      </c>
      <c r="O378" s="59">
        <f>ROUND(O377/(O$377+O$379+O$381),3)-0.001</f>
        <v>0.86599999999999999</v>
      </c>
      <c r="P378" s="59">
        <f>ROUND(P377/(P$377+P$379+P$381),3)</f>
        <v>0.38400000000000001</v>
      </c>
      <c r="Q378" s="59">
        <f>ROUND(Q377/(Q$377+Q$379+Q$381),3)-0.001</f>
        <v>0.42699999999999999</v>
      </c>
      <c r="R378" s="1"/>
      <c r="S378" s="1"/>
      <c r="U378" s="1"/>
      <c r="Y378" s="4"/>
      <c r="AJ378" s="5"/>
      <c r="AN378" s="1"/>
    </row>
    <row r="379" spans="2:41" ht="12.95" customHeight="1" x14ac:dyDescent="0.15">
      <c r="D379" s="487" t="s">
        <v>125</v>
      </c>
      <c r="E379" s="440"/>
      <c r="F379" s="54">
        <f>G379+H379+I379</f>
        <v>297</v>
      </c>
      <c r="G379" s="55">
        <v>13</v>
      </c>
      <c r="H379" s="55">
        <v>77</v>
      </c>
      <c r="I379" s="56">
        <v>207</v>
      </c>
      <c r="J379" s="54">
        <f>K379+L379+M379</f>
        <v>353</v>
      </c>
      <c r="K379" s="55">
        <v>13</v>
      </c>
      <c r="L379" s="55">
        <v>102</v>
      </c>
      <c r="M379" s="55">
        <v>238</v>
      </c>
      <c r="N379" s="55">
        <f>O379+P379+Q379</f>
        <v>326</v>
      </c>
      <c r="O379" s="55">
        <v>8</v>
      </c>
      <c r="P379" s="55">
        <v>111</v>
      </c>
      <c r="Q379" s="55">
        <v>207</v>
      </c>
      <c r="R379" s="1"/>
      <c r="S379" s="1"/>
      <c r="U379" s="1"/>
      <c r="Y379" s="4"/>
      <c r="AJ379" s="5"/>
      <c r="AN379" s="1"/>
    </row>
    <row r="380" spans="2:41" ht="12.95" customHeight="1" x14ac:dyDescent="0.15">
      <c r="D380" s="441"/>
      <c r="E380" s="442"/>
      <c r="F380" s="58">
        <f t="shared" ref="F380:Q380" si="88">ROUND(F379/(F$377+F$379+F$381),3)</f>
        <v>0.52300000000000002</v>
      </c>
      <c r="G380" s="59">
        <f t="shared" si="88"/>
        <v>0.217</v>
      </c>
      <c r="H380" s="59">
        <f t="shared" si="88"/>
        <v>0.61099999999999999</v>
      </c>
      <c r="I380" s="60">
        <f t="shared" si="88"/>
        <v>0.54200000000000004</v>
      </c>
      <c r="J380" s="58">
        <f t="shared" si="88"/>
        <v>0.52700000000000002</v>
      </c>
      <c r="K380" s="59">
        <f t="shared" si="88"/>
        <v>0.21299999999999999</v>
      </c>
      <c r="L380" s="59">
        <f t="shared" si="88"/>
        <v>0.54800000000000004</v>
      </c>
      <c r="M380" s="59">
        <f t="shared" si="88"/>
        <v>0.56299999999999994</v>
      </c>
      <c r="N380" s="59">
        <f t="shared" si="88"/>
        <v>0.47199999999999998</v>
      </c>
      <c r="O380" s="59">
        <f t="shared" si="88"/>
        <v>0.107</v>
      </c>
      <c r="P380" s="59">
        <f t="shared" si="88"/>
        <v>0.51400000000000001</v>
      </c>
      <c r="Q380" s="59">
        <f t="shared" si="88"/>
        <v>0.51800000000000002</v>
      </c>
      <c r="R380" s="1"/>
      <c r="S380" s="1"/>
      <c r="U380" s="1"/>
      <c r="Y380" s="4"/>
      <c r="AJ380" s="5"/>
      <c r="AN380" s="1"/>
    </row>
    <row r="381" spans="2:41" ht="12.95" customHeight="1" x14ac:dyDescent="0.15">
      <c r="D381" s="439" t="s">
        <v>121</v>
      </c>
      <c r="E381" s="440"/>
      <c r="F381" s="54">
        <f>G381+H381+I381</f>
        <v>38</v>
      </c>
      <c r="G381" s="55">
        <v>0</v>
      </c>
      <c r="H381" s="55">
        <v>10</v>
      </c>
      <c r="I381" s="56">
        <v>28</v>
      </c>
      <c r="J381" s="54">
        <f>K381+L381+M381</f>
        <v>69</v>
      </c>
      <c r="K381" s="55">
        <v>3</v>
      </c>
      <c r="L381" s="55">
        <v>17</v>
      </c>
      <c r="M381" s="55">
        <v>49</v>
      </c>
      <c r="N381" s="55">
        <f>O381+P381+Q381</f>
        <v>46</v>
      </c>
      <c r="O381" s="55">
        <v>2</v>
      </c>
      <c r="P381" s="55">
        <v>22</v>
      </c>
      <c r="Q381" s="55">
        <v>22</v>
      </c>
      <c r="R381" s="1"/>
      <c r="S381" s="1"/>
      <c r="U381" s="1"/>
      <c r="Y381" s="4"/>
      <c r="AJ381" s="5"/>
      <c r="AN381" s="1"/>
    </row>
    <row r="382" spans="2:41" ht="12.95" customHeight="1" x14ac:dyDescent="0.15">
      <c r="D382" s="441"/>
      <c r="E382" s="442"/>
      <c r="F382" s="58">
        <f t="shared" ref="F382:M382" si="89">ROUND(F381/(F$377+F$379+F$381),3)</f>
        <v>6.7000000000000004E-2</v>
      </c>
      <c r="G382" s="59">
        <f t="shared" si="89"/>
        <v>0</v>
      </c>
      <c r="H382" s="59">
        <f t="shared" si="89"/>
        <v>7.9000000000000001E-2</v>
      </c>
      <c r="I382" s="60">
        <f t="shared" si="89"/>
        <v>7.2999999999999995E-2</v>
      </c>
      <c r="J382" s="58">
        <f t="shared" si="89"/>
        <v>0.10299999999999999</v>
      </c>
      <c r="K382" s="59">
        <f t="shared" si="89"/>
        <v>4.9000000000000002E-2</v>
      </c>
      <c r="L382" s="59">
        <f t="shared" si="89"/>
        <v>9.0999999999999998E-2</v>
      </c>
      <c r="M382" s="59">
        <f t="shared" si="89"/>
        <v>0.11600000000000001</v>
      </c>
      <c r="N382" s="59">
        <f>ROUND(N381/(N$377+N$379+N$381),3)-0.001</f>
        <v>6.6000000000000003E-2</v>
      </c>
      <c r="O382" s="59">
        <f>ROUND(O381/(O$377+O$379+O$381),3)</f>
        <v>2.7E-2</v>
      </c>
      <c r="P382" s="59">
        <f>ROUND(P381/(P$377+P$379+P$381),3)</f>
        <v>0.10199999999999999</v>
      </c>
      <c r="Q382" s="59">
        <f>ROUND(Q381/(Q$377+Q$379+Q$381),3)</f>
        <v>5.5E-2</v>
      </c>
      <c r="R382" s="1"/>
      <c r="S382" s="1"/>
      <c r="U382" s="1"/>
      <c r="Y382" s="4"/>
      <c r="AJ382" s="5"/>
      <c r="AN382" s="1"/>
    </row>
    <row r="383" spans="2:41" ht="12.95" customHeight="1" x14ac:dyDescent="0.15">
      <c r="D383" s="449" t="s">
        <v>53</v>
      </c>
      <c r="E383" s="426"/>
      <c r="F383" s="54">
        <f t="shared" ref="F383:Q384" si="90">F377+F379+F381</f>
        <v>568</v>
      </c>
      <c r="G383" s="55">
        <f t="shared" si="90"/>
        <v>60</v>
      </c>
      <c r="H383" s="55">
        <f t="shared" si="90"/>
        <v>126</v>
      </c>
      <c r="I383" s="56">
        <f t="shared" si="90"/>
        <v>382</v>
      </c>
      <c r="J383" s="54">
        <f t="shared" si="90"/>
        <v>670</v>
      </c>
      <c r="K383" s="55">
        <f t="shared" si="90"/>
        <v>61</v>
      </c>
      <c r="L383" s="55">
        <f t="shared" si="90"/>
        <v>186</v>
      </c>
      <c r="M383" s="55">
        <f t="shared" si="90"/>
        <v>423</v>
      </c>
      <c r="N383" s="55">
        <f t="shared" si="90"/>
        <v>691</v>
      </c>
      <c r="O383" s="55">
        <f t="shared" si="90"/>
        <v>75</v>
      </c>
      <c r="P383" s="55">
        <f t="shared" si="90"/>
        <v>216</v>
      </c>
      <c r="Q383" s="55">
        <f t="shared" si="90"/>
        <v>400</v>
      </c>
      <c r="R383" s="1"/>
      <c r="S383" s="1"/>
      <c r="U383" s="1"/>
      <c r="Y383" s="4"/>
      <c r="AJ383" s="5"/>
      <c r="AN383" s="1"/>
    </row>
    <row r="384" spans="2:41" ht="13.5" customHeight="1" thickBot="1" x14ac:dyDescent="0.2">
      <c r="D384" s="449"/>
      <c r="E384" s="426"/>
      <c r="F384" s="65">
        <f t="shared" si="90"/>
        <v>1</v>
      </c>
      <c r="G384" s="66">
        <f t="shared" si="90"/>
        <v>1</v>
      </c>
      <c r="H384" s="66">
        <f t="shared" si="90"/>
        <v>1</v>
      </c>
      <c r="I384" s="67">
        <f t="shared" si="90"/>
        <v>1</v>
      </c>
      <c r="J384" s="68">
        <f t="shared" si="90"/>
        <v>1</v>
      </c>
      <c r="K384" s="69">
        <f t="shared" si="90"/>
        <v>1</v>
      </c>
      <c r="L384" s="69">
        <f t="shared" si="90"/>
        <v>0.999</v>
      </c>
      <c r="M384" s="69">
        <f t="shared" si="90"/>
        <v>1.0010000000000001</v>
      </c>
      <c r="N384" s="69">
        <f t="shared" si="90"/>
        <v>1</v>
      </c>
      <c r="O384" s="69">
        <f t="shared" si="90"/>
        <v>1</v>
      </c>
      <c r="P384" s="69">
        <f t="shared" si="90"/>
        <v>1</v>
      </c>
      <c r="Q384" s="69">
        <f t="shared" si="90"/>
        <v>1</v>
      </c>
      <c r="R384" s="1"/>
      <c r="S384" s="1"/>
      <c r="U384" s="1"/>
      <c r="Y384" s="4"/>
      <c r="AJ384" s="5"/>
      <c r="AN384" s="1"/>
    </row>
    <row r="385" spans="2:41" x14ac:dyDescent="0.15">
      <c r="D385" s="100"/>
      <c r="E385" s="100"/>
      <c r="F385" s="100"/>
      <c r="G385" s="78"/>
      <c r="H385" s="78"/>
      <c r="I385" s="78"/>
      <c r="J385" s="78"/>
      <c r="K385" s="78"/>
      <c r="L385" s="78"/>
      <c r="M385" s="78"/>
      <c r="N385" s="78"/>
      <c r="O385" s="90"/>
      <c r="P385" s="78"/>
      <c r="Q385" s="78"/>
      <c r="R385" s="78"/>
      <c r="S385" s="78"/>
      <c r="T385" s="72"/>
      <c r="U385" s="13"/>
      <c r="V385" s="72"/>
      <c r="W385" s="46"/>
      <c r="X385" s="2"/>
      <c r="AN385" s="1"/>
      <c r="AO385" s="5"/>
    </row>
    <row r="386" spans="2:41" x14ac:dyDescent="0.15">
      <c r="D386" s="100"/>
      <c r="E386" s="100"/>
      <c r="F386" s="100"/>
      <c r="G386" s="78"/>
      <c r="H386" s="78"/>
      <c r="I386" s="78"/>
      <c r="J386" s="78"/>
      <c r="K386" s="78"/>
      <c r="L386" s="78"/>
      <c r="M386" s="78"/>
      <c r="N386" s="78"/>
      <c r="O386" s="90"/>
      <c r="P386" s="78"/>
      <c r="Q386" s="78"/>
      <c r="R386" s="78"/>
      <c r="S386" s="78"/>
      <c r="T386" s="72"/>
      <c r="U386" s="13"/>
      <c r="V386" s="72"/>
      <c r="W386" s="46"/>
      <c r="X386" s="2"/>
      <c r="AN386" s="1"/>
      <c r="AO386" s="5"/>
    </row>
    <row r="387" spans="2:41" x14ac:dyDescent="0.15">
      <c r="D387" s="100"/>
      <c r="E387" s="100"/>
      <c r="F387" s="100"/>
      <c r="G387" s="78"/>
      <c r="H387" s="78"/>
      <c r="I387" s="78"/>
      <c r="J387" s="78"/>
      <c r="K387" s="78"/>
      <c r="L387" s="78"/>
      <c r="M387" s="78"/>
      <c r="N387" s="78"/>
      <c r="O387" s="90"/>
      <c r="P387" s="78"/>
      <c r="Q387" s="78"/>
      <c r="R387" s="78"/>
      <c r="S387" s="78"/>
      <c r="T387" s="72"/>
      <c r="U387" s="13"/>
      <c r="V387" s="72"/>
      <c r="W387" s="46"/>
      <c r="X387" s="2"/>
      <c r="AN387" s="1"/>
      <c r="AO387" s="5"/>
    </row>
    <row r="388" spans="2:41" x14ac:dyDescent="0.15">
      <c r="D388" s="100"/>
      <c r="E388" s="100"/>
      <c r="F388" s="100"/>
      <c r="G388" s="78"/>
      <c r="H388" s="78"/>
      <c r="I388" s="78"/>
      <c r="J388" s="78"/>
      <c r="K388" s="78"/>
      <c r="L388" s="78"/>
      <c r="M388" s="78"/>
      <c r="N388" s="78"/>
      <c r="O388" s="90"/>
      <c r="P388" s="78"/>
      <c r="Q388" s="78"/>
      <c r="R388" s="78"/>
      <c r="S388" s="78"/>
      <c r="T388" s="72"/>
      <c r="U388" s="13"/>
      <c r="V388" s="72"/>
      <c r="W388" s="46"/>
      <c r="X388" s="2"/>
      <c r="AN388" s="1"/>
      <c r="AO388" s="5"/>
    </row>
    <row r="389" spans="2:41" ht="14.25" thickBot="1" x14ac:dyDescent="0.2">
      <c r="B389" s="10" t="s">
        <v>126</v>
      </c>
      <c r="K389" s="52"/>
      <c r="O389" s="52"/>
    </row>
    <row r="390" spans="2:41" ht="12.95" customHeight="1" x14ac:dyDescent="0.15">
      <c r="D390" s="399"/>
      <c r="E390" s="386"/>
      <c r="F390" s="444" t="s">
        <v>26</v>
      </c>
      <c r="G390" s="455"/>
      <c r="H390" s="455"/>
      <c r="I390" s="456"/>
      <c r="J390" s="503" t="s">
        <v>27</v>
      </c>
      <c r="K390" s="449"/>
      <c r="L390" s="449"/>
      <c r="M390" s="449"/>
      <c r="N390" s="399" t="s">
        <v>28</v>
      </c>
      <c r="O390" s="451"/>
      <c r="P390" s="451"/>
      <c r="Q390" s="452"/>
      <c r="R390" s="12"/>
      <c r="S390" s="12"/>
      <c r="T390" s="2"/>
      <c r="U390" s="13"/>
      <c r="V390" s="2"/>
      <c r="W390" s="2"/>
    </row>
    <row r="391" spans="2:41" ht="12.95" customHeight="1" x14ac:dyDescent="0.15">
      <c r="D391" s="400"/>
      <c r="E391" s="443"/>
      <c r="F391" s="371"/>
      <c r="G391" s="364" t="s">
        <v>29</v>
      </c>
      <c r="H391" s="364" t="s">
        <v>30</v>
      </c>
      <c r="I391" s="374" t="s">
        <v>31</v>
      </c>
      <c r="J391" s="14"/>
      <c r="K391" s="15" t="s">
        <v>29</v>
      </c>
      <c r="L391" s="15" t="s">
        <v>30</v>
      </c>
      <c r="M391" s="375" t="s">
        <v>31</v>
      </c>
      <c r="N391" s="372"/>
      <c r="O391" s="364" t="s">
        <v>29</v>
      </c>
      <c r="P391" s="364" t="s">
        <v>30</v>
      </c>
      <c r="Q391" s="375" t="s">
        <v>31</v>
      </c>
      <c r="R391" s="20"/>
      <c r="S391" s="20"/>
      <c r="T391" s="2"/>
      <c r="U391" s="13"/>
      <c r="V391" s="2"/>
      <c r="W391" s="2"/>
    </row>
    <row r="392" spans="2:41" ht="12.95" customHeight="1" x14ac:dyDescent="0.15">
      <c r="D392" s="439" t="s">
        <v>127</v>
      </c>
      <c r="E392" s="440"/>
      <c r="F392" s="54">
        <f>G392+H392+I392</f>
        <v>100</v>
      </c>
      <c r="G392" s="55">
        <v>12</v>
      </c>
      <c r="H392" s="55">
        <v>15</v>
      </c>
      <c r="I392" s="56">
        <v>73</v>
      </c>
      <c r="J392" s="54">
        <f>K392+L392+M392</f>
        <v>4</v>
      </c>
      <c r="K392" s="55">
        <v>1</v>
      </c>
      <c r="L392" s="55">
        <v>0</v>
      </c>
      <c r="M392" s="55">
        <v>3</v>
      </c>
      <c r="N392" s="55">
        <f>O392+P392+Q392</f>
        <v>45</v>
      </c>
      <c r="O392" s="55">
        <v>3</v>
      </c>
      <c r="P392" s="55">
        <v>15</v>
      </c>
      <c r="Q392" s="55">
        <v>27</v>
      </c>
      <c r="T392" s="2"/>
      <c r="U392" s="13"/>
      <c r="V392" s="2"/>
      <c r="W392" s="2"/>
    </row>
    <row r="393" spans="2:41" ht="12.95" customHeight="1" x14ac:dyDescent="0.15">
      <c r="D393" s="441"/>
      <c r="E393" s="442"/>
      <c r="F393" s="58">
        <f t="shared" ref="F393:Q393" si="91">ROUND(F392/(F$392+F$394+F$396+F$398),3)</f>
        <v>0.159</v>
      </c>
      <c r="G393" s="59">
        <f t="shared" si="91"/>
        <v>0.182</v>
      </c>
      <c r="H393" s="59">
        <f t="shared" si="91"/>
        <v>0.11600000000000001</v>
      </c>
      <c r="I393" s="60">
        <f t="shared" si="91"/>
        <v>0.16900000000000001</v>
      </c>
      <c r="J393" s="58">
        <f t="shared" si="91"/>
        <v>6.0000000000000001E-3</v>
      </c>
      <c r="K393" s="59">
        <f t="shared" si="91"/>
        <v>1.7999999999999999E-2</v>
      </c>
      <c r="L393" s="59">
        <f t="shared" si="91"/>
        <v>0</v>
      </c>
      <c r="M393" s="59">
        <f t="shared" si="91"/>
        <v>7.0000000000000001E-3</v>
      </c>
      <c r="N393" s="59">
        <f t="shared" si="91"/>
        <v>6.5000000000000002E-2</v>
      </c>
      <c r="O393" s="59">
        <f t="shared" si="91"/>
        <v>4.2999999999999997E-2</v>
      </c>
      <c r="P393" s="59">
        <f t="shared" si="91"/>
        <v>7.0000000000000007E-2</v>
      </c>
      <c r="Q393" s="59">
        <f t="shared" si="91"/>
        <v>6.6000000000000003E-2</v>
      </c>
      <c r="R393" s="51"/>
      <c r="S393" s="51"/>
      <c r="T393" s="2"/>
      <c r="U393" s="13"/>
      <c r="V393" s="2"/>
      <c r="W393" s="2"/>
    </row>
    <row r="394" spans="2:41" ht="12.95" customHeight="1" x14ac:dyDescent="0.15">
      <c r="D394" s="439" t="s">
        <v>128</v>
      </c>
      <c r="E394" s="440"/>
      <c r="F394" s="54">
        <f>G394+H394+I394</f>
        <v>316</v>
      </c>
      <c r="G394" s="55">
        <v>38</v>
      </c>
      <c r="H394" s="55">
        <v>68</v>
      </c>
      <c r="I394" s="56">
        <v>210</v>
      </c>
      <c r="J394" s="54">
        <f>K394+L394+M394</f>
        <v>381</v>
      </c>
      <c r="K394" s="55">
        <v>39</v>
      </c>
      <c r="L394" s="55">
        <v>112</v>
      </c>
      <c r="M394" s="55">
        <v>230</v>
      </c>
      <c r="N394" s="55">
        <f>O394+P394+Q394</f>
        <v>347</v>
      </c>
      <c r="O394" s="55">
        <v>41</v>
      </c>
      <c r="P394" s="55">
        <v>109</v>
      </c>
      <c r="Q394" s="55">
        <v>197</v>
      </c>
      <c r="T394" s="2"/>
      <c r="U394" s="13"/>
      <c r="V394" s="2"/>
      <c r="W394" s="2"/>
    </row>
    <row r="395" spans="2:41" ht="12.95" customHeight="1" x14ac:dyDescent="0.15">
      <c r="D395" s="441"/>
      <c r="E395" s="442"/>
      <c r="F395" s="58">
        <f t="shared" ref="F395:Q395" si="92">ROUND(F394/(F$392+F$394+F$396+F$398),3)</f>
        <v>0.504</v>
      </c>
      <c r="G395" s="59">
        <f t="shared" si="92"/>
        <v>0.57599999999999996</v>
      </c>
      <c r="H395" s="59">
        <f t="shared" si="92"/>
        <v>0.52700000000000002</v>
      </c>
      <c r="I395" s="60">
        <f t="shared" si="92"/>
        <v>0.48599999999999999</v>
      </c>
      <c r="J395" s="58">
        <f t="shared" si="92"/>
        <v>0.58699999999999997</v>
      </c>
      <c r="K395" s="59">
        <f t="shared" si="92"/>
        <v>0.68400000000000005</v>
      </c>
      <c r="L395" s="59">
        <f t="shared" si="92"/>
        <v>0.60499999999999998</v>
      </c>
      <c r="M395" s="59">
        <f t="shared" si="92"/>
        <v>0.56499999999999995</v>
      </c>
      <c r="N395" s="59">
        <f t="shared" si="92"/>
        <v>0.5</v>
      </c>
      <c r="O395" s="59">
        <f t="shared" si="92"/>
        <v>0.58599999999999997</v>
      </c>
      <c r="P395" s="59">
        <f t="shared" si="92"/>
        <v>0.51200000000000001</v>
      </c>
      <c r="Q395" s="59">
        <f t="shared" si="92"/>
        <v>0.47899999999999998</v>
      </c>
      <c r="R395" s="51"/>
      <c r="S395" s="51"/>
      <c r="T395" s="2"/>
      <c r="U395" s="13"/>
      <c r="V395" s="2"/>
      <c r="W395" s="2"/>
    </row>
    <row r="396" spans="2:41" ht="12.95" customHeight="1" x14ac:dyDescent="0.15">
      <c r="D396" s="439" t="s">
        <v>129</v>
      </c>
      <c r="E396" s="440"/>
      <c r="F396" s="54">
        <f>G396+H396+I396</f>
        <v>181</v>
      </c>
      <c r="G396" s="55">
        <v>11</v>
      </c>
      <c r="H396" s="55">
        <v>40</v>
      </c>
      <c r="I396" s="56">
        <v>130</v>
      </c>
      <c r="J396" s="54">
        <f>K396+L396+M396</f>
        <v>200</v>
      </c>
      <c r="K396" s="55">
        <v>12</v>
      </c>
      <c r="L396" s="55">
        <v>56</v>
      </c>
      <c r="M396" s="55">
        <v>132</v>
      </c>
      <c r="N396" s="55">
        <f>O396+P396+Q396</f>
        <v>247</v>
      </c>
      <c r="O396" s="55">
        <v>19</v>
      </c>
      <c r="P396" s="55">
        <v>78</v>
      </c>
      <c r="Q396" s="55">
        <v>150</v>
      </c>
      <c r="T396" s="2"/>
      <c r="U396" s="13"/>
      <c r="V396" s="2"/>
      <c r="W396" s="2"/>
    </row>
    <row r="397" spans="2:41" ht="12.95" customHeight="1" x14ac:dyDescent="0.15">
      <c r="D397" s="441"/>
      <c r="E397" s="442"/>
      <c r="F397" s="58">
        <f t="shared" ref="F397:Q397" si="93">ROUND(F396/(F$392+F$394+F$396+F$398),3)</f>
        <v>0.28899999999999998</v>
      </c>
      <c r="G397" s="59">
        <f t="shared" si="93"/>
        <v>0.16700000000000001</v>
      </c>
      <c r="H397" s="59">
        <f t="shared" si="93"/>
        <v>0.31</v>
      </c>
      <c r="I397" s="60">
        <f t="shared" si="93"/>
        <v>0.30099999999999999</v>
      </c>
      <c r="J397" s="58">
        <f t="shared" si="93"/>
        <v>0.308</v>
      </c>
      <c r="K397" s="59">
        <f t="shared" si="93"/>
        <v>0.21099999999999999</v>
      </c>
      <c r="L397" s="59">
        <f t="shared" si="93"/>
        <v>0.30299999999999999</v>
      </c>
      <c r="M397" s="59">
        <f t="shared" si="93"/>
        <v>0.32400000000000001</v>
      </c>
      <c r="N397" s="59">
        <f t="shared" si="93"/>
        <v>0.35599999999999998</v>
      </c>
      <c r="O397" s="59">
        <f t="shared" si="93"/>
        <v>0.27100000000000002</v>
      </c>
      <c r="P397" s="59">
        <f t="shared" si="93"/>
        <v>0.36599999999999999</v>
      </c>
      <c r="Q397" s="59">
        <f t="shared" si="93"/>
        <v>0.36499999999999999</v>
      </c>
      <c r="R397" s="51"/>
      <c r="S397" s="51"/>
      <c r="T397" s="2"/>
      <c r="U397" s="13"/>
      <c r="V397" s="2"/>
      <c r="W397" s="2"/>
    </row>
    <row r="398" spans="2:41" ht="12.95" customHeight="1" x14ac:dyDescent="0.15">
      <c r="D398" s="439" t="s">
        <v>130</v>
      </c>
      <c r="E398" s="440"/>
      <c r="F398" s="54">
        <f>G398+H398+I398</f>
        <v>30</v>
      </c>
      <c r="G398" s="55">
        <v>5</v>
      </c>
      <c r="H398" s="55">
        <v>6</v>
      </c>
      <c r="I398" s="56">
        <v>19</v>
      </c>
      <c r="J398" s="54">
        <f>K398+L398+M398</f>
        <v>64</v>
      </c>
      <c r="K398" s="55">
        <v>5</v>
      </c>
      <c r="L398" s="55">
        <v>17</v>
      </c>
      <c r="M398" s="55">
        <v>42</v>
      </c>
      <c r="N398" s="55">
        <f>O398+P398+Q398</f>
        <v>55</v>
      </c>
      <c r="O398" s="55">
        <v>7</v>
      </c>
      <c r="P398" s="55">
        <v>11</v>
      </c>
      <c r="Q398" s="55">
        <v>37</v>
      </c>
      <c r="T398" s="2"/>
      <c r="U398" s="13"/>
      <c r="V398" s="2"/>
      <c r="W398" s="2"/>
    </row>
    <row r="399" spans="2:41" ht="12.95" customHeight="1" x14ac:dyDescent="0.15">
      <c r="D399" s="441"/>
      <c r="E399" s="442"/>
      <c r="F399" s="58">
        <f t="shared" ref="F399:Q399" si="94">ROUND(F398/(F$392+F$394+F$396+F$398),3)</f>
        <v>4.8000000000000001E-2</v>
      </c>
      <c r="G399" s="59">
        <f t="shared" si="94"/>
        <v>7.5999999999999998E-2</v>
      </c>
      <c r="H399" s="59">
        <f t="shared" si="94"/>
        <v>4.7E-2</v>
      </c>
      <c r="I399" s="60">
        <f t="shared" si="94"/>
        <v>4.3999999999999997E-2</v>
      </c>
      <c r="J399" s="58">
        <f t="shared" si="94"/>
        <v>9.9000000000000005E-2</v>
      </c>
      <c r="K399" s="59">
        <f t="shared" si="94"/>
        <v>8.7999999999999995E-2</v>
      </c>
      <c r="L399" s="59">
        <f t="shared" si="94"/>
        <v>9.1999999999999998E-2</v>
      </c>
      <c r="M399" s="59">
        <f t="shared" si="94"/>
        <v>0.10299999999999999</v>
      </c>
      <c r="N399" s="59">
        <f t="shared" si="94"/>
        <v>7.9000000000000001E-2</v>
      </c>
      <c r="O399" s="59">
        <f t="shared" si="94"/>
        <v>0.1</v>
      </c>
      <c r="P399" s="59">
        <f t="shared" si="94"/>
        <v>5.1999999999999998E-2</v>
      </c>
      <c r="Q399" s="59">
        <f t="shared" si="94"/>
        <v>0.09</v>
      </c>
      <c r="R399" s="51"/>
      <c r="S399" s="51"/>
      <c r="T399" s="2"/>
      <c r="U399" s="13"/>
      <c r="V399" s="2"/>
      <c r="W399" s="2"/>
    </row>
    <row r="400" spans="2:41" ht="12.95" customHeight="1" x14ac:dyDescent="0.15">
      <c r="D400" s="449" t="s">
        <v>53</v>
      </c>
      <c r="E400" s="426"/>
      <c r="F400" s="119">
        <f t="shared" ref="F400:Q401" si="95">F392+F394+F396+F398</f>
        <v>627</v>
      </c>
      <c r="G400" s="55">
        <f t="shared" si="95"/>
        <v>66</v>
      </c>
      <c r="H400" s="87">
        <f t="shared" si="95"/>
        <v>129</v>
      </c>
      <c r="I400" s="86">
        <f t="shared" si="95"/>
        <v>432</v>
      </c>
      <c r="J400" s="54">
        <f t="shared" si="95"/>
        <v>649</v>
      </c>
      <c r="K400" s="55">
        <f t="shared" si="95"/>
        <v>57</v>
      </c>
      <c r="L400" s="55">
        <f t="shared" si="95"/>
        <v>185</v>
      </c>
      <c r="M400" s="55">
        <f t="shared" si="95"/>
        <v>407</v>
      </c>
      <c r="N400" s="88">
        <f t="shared" si="95"/>
        <v>694</v>
      </c>
      <c r="O400" s="80">
        <f t="shared" si="95"/>
        <v>70</v>
      </c>
      <c r="P400" s="87">
        <f t="shared" si="95"/>
        <v>213</v>
      </c>
      <c r="Q400" s="80">
        <f t="shared" si="95"/>
        <v>411</v>
      </c>
      <c r="T400" s="2"/>
      <c r="U400" s="13"/>
      <c r="V400" s="2"/>
      <c r="W400" s="2"/>
    </row>
    <row r="401" spans="4:41" ht="13.5" customHeight="1" thickBot="1" x14ac:dyDescent="0.2">
      <c r="D401" s="449"/>
      <c r="E401" s="426"/>
      <c r="F401" s="117">
        <f t="shared" si="95"/>
        <v>1</v>
      </c>
      <c r="G401" s="66">
        <f t="shared" si="95"/>
        <v>1.0010000000000001</v>
      </c>
      <c r="H401" s="118">
        <f t="shared" si="95"/>
        <v>1</v>
      </c>
      <c r="I401" s="67">
        <f t="shared" si="95"/>
        <v>1</v>
      </c>
      <c r="J401" s="68">
        <f t="shared" si="95"/>
        <v>1</v>
      </c>
      <c r="K401" s="69">
        <f t="shared" si="95"/>
        <v>1.0010000000000001</v>
      </c>
      <c r="L401" s="69">
        <f t="shared" si="95"/>
        <v>0.99999999999999989</v>
      </c>
      <c r="M401" s="69">
        <f t="shared" si="95"/>
        <v>0.99899999999999989</v>
      </c>
      <c r="N401" s="89">
        <f t="shared" si="95"/>
        <v>0.99999999999999989</v>
      </c>
      <c r="O401" s="69">
        <f t="shared" si="95"/>
        <v>1</v>
      </c>
      <c r="P401" s="71">
        <f t="shared" si="95"/>
        <v>1</v>
      </c>
      <c r="Q401" s="69">
        <f t="shared" si="95"/>
        <v>0.99999999999999989</v>
      </c>
      <c r="R401" s="72"/>
      <c r="S401" s="72"/>
      <c r="T401" s="46"/>
      <c r="U401" s="47"/>
      <c r="V401" s="46"/>
      <c r="W401" s="2"/>
    </row>
    <row r="402" spans="4:41" x14ac:dyDescent="0.15">
      <c r="D402" s="100"/>
      <c r="E402" s="100"/>
      <c r="F402" s="96"/>
      <c r="G402" s="96"/>
      <c r="H402" s="78"/>
      <c r="I402" s="78"/>
      <c r="J402" s="78"/>
      <c r="K402" s="78"/>
      <c r="L402" s="78"/>
      <c r="M402" s="78"/>
      <c r="N402" s="78"/>
      <c r="O402" s="78"/>
      <c r="P402" s="78"/>
      <c r="Q402" s="78"/>
      <c r="R402" s="72"/>
      <c r="S402" s="72"/>
      <c r="T402" s="72"/>
      <c r="U402" s="13"/>
      <c r="V402" s="72"/>
      <c r="W402" s="46"/>
      <c r="X402" s="2"/>
      <c r="AN402" s="1"/>
      <c r="AO402" s="5"/>
    </row>
    <row r="403" spans="4:41" x14ac:dyDescent="0.15">
      <c r="D403" s="100"/>
      <c r="E403" s="100"/>
      <c r="F403" s="96"/>
      <c r="G403" s="96"/>
      <c r="H403" s="78"/>
      <c r="I403" s="78"/>
      <c r="J403" s="78"/>
      <c r="K403" s="78"/>
      <c r="L403" s="78"/>
      <c r="M403" s="78"/>
      <c r="N403" s="78"/>
      <c r="O403" s="78"/>
      <c r="P403" s="78"/>
      <c r="Q403" s="78"/>
      <c r="R403" s="72"/>
      <c r="S403" s="72"/>
      <c r="T403" s="72"/>
      <c r="U403" s="13"/>
      <c r="V403" s="72"/>
      <c r="W403" s="46"/>
      <c r="X403" s="2"/>
      <c r="AN403" s="1"/>
      <c r="AO403" s="5"/>
    </row>
    <row r="404" spans="4:41" x14ac:dyDescent="0.15">
      <c r="D404" s="100"/>
      <c r="E404" s="100"/>
      <c r="F404" s="96"/>
      <c r="G404" s="96"/>
      <c r="H404" s="78"/>
      <c r="I404" s="78"/>
      <c r="J404" s="78"/>
      <c r="K404" s="78"/>
      <c r="L404" s="78"/>
      <c r="M404" s="78"/>
      <c r="N404" s="78"/>
      <c r="O404" s="78"/>
      <c r="P404" s="78"/>
      <c r="Q404" s="78"/>
      <c r="R404" s="72"/>
      <c r="S404" s="72"/>
      <c r="T404" s="72" t="s">
        <v>127</v>
      </c>
      <c r="U404" s="13">
        <v>100</v>
      </c>
      <c r="V404" s="72"/>
      <c r="W404" s="46"/>
      <c r="X404" s="2"/>
      <c r="AN404" s="1"/>
      <c r="AO404" s="5"/>
    </row>
    <row r="405" spans="4:41" x14ac:dyDescent="0.15">
      <c r="D405" s="100"/>
      <c r="E405" s="100"/>
      <c r="F405" s="96"/>
      <c r="G405" s="96"/>
      <c r="H405" s="78"/>
      <c r="I405" s="78"/>
      <c r="J405" s="78"/>
      <c r="K405" s="78"/>
      <c r="L405" s="78"/>
      <c r="M405" s="78"/>
      <c r="N405" s="78"/>
      <c r="O405" s="78"/>
      <c r="P405" s="78"/>
      <c r="Q405" s="78"/>
      <c r="R405" s="72"/>
      <c r="S405" s="72"/>
      <c r="T405" s="72" t="s">
        <v>128</v>
      </c>
      <c r="U405" s="13">
        <v>316</v>
      </c>
      <c r="V405" s="72"/>
      <c r="W405" s="46"/>
      <c r="X405" s="2"/>
      <c r="AN405" s="1"/>
      <c r="AO405" s="5"/>
    </row>
    <row r="406" spans="4:41" x14ac:dyDescent="0.15">
      <c r="D406" s="100"/>
      <c r="E406" s="100"/>
      <c r="F406" s="96"/>
      <c r="G406" s="96"/>
      <c r="H406" s="78"/>
      <c r="I406" s="78"/>
      <c r="J406" s="78"/>
      <c r="K406" s="78"/>
      <c r="L406" s="78"/>
      <c r="M406" s="78"/>
      <c r="N406" s="78"/>
      <c r="O406" s="78"/>
      <c r="P406" s="78"/>
      <c r="Q406" s="78"/>
      <c r="R406" s="72"/>
      <c r="S406" s="72"/>
      <c r="T406" s="72" t="s">
        <v>129</v>
      </c>
      <c r="U406" s="13">
        <v>181</v>
      </c>
      <c r="V406" s="72"/>
      <c r="W406" s="46"/>
      <c r="X406" s="2"/>
      <c r="AN406" s="1"/>
      <c r="AO406" s="5"/>
    </row>
    <row r="407" spans="4:41" x14ac:dyDescent="0.15">
      <c r="D407" s="100"/>
      <c r="E407" s="100"/>
      <c r="F407" s="96"/>
      <c r="G407" s="96"/>
      <c r="H407" s="78"/>
      <c r="I407" s="78"/>
      <c r="J407" s="78"/>
      <c r="K407" s="78"/>
      <c r="L407" s="78"/>
      <c r="M407" s="78"/>
      <c r="N407" s="78"/>
      <c r="O407" s="78"/>
      <c r="P407" s="78"/>
      <c r="Q407" s="78"/>
      <c r="R407" s="72"/>
      <c r="S407" s="72"/>
      <c r="T407" s="72" t="s">
        <v>130</v>
      </c>
      <c r="U407" s="13">
        <v>30</v>
      </c>
      <c r="V407" s="72"/>
      <c r="W407" s="46"/>
      <c r="X407" s="2"/>
      <c r="AN407" s="1"/>
      <c r="AO407" s="5"/>
    </row>
    <row r="408" spans="4:41" x14ac:dyDescent="0.15">
      <c r="D408" s="100"/>
      <c r="E408" s="100"/>
      <c r="F408" s="96"/>
      <c r="G408" s="96"/>
      <c r="H408" s="78"/>
      <c r="I408" s="78"/>
      <c r="J408" s="78"/>
      <c r="K408" s="78"/>
      <c r="L408" s="78"/>
      <c r="M408" s="78"/>
      <c r="N408" s="78"/>
      <c r="O408" s="78"/>
      <c r="P408" s="78"/>
      <c r="Q408" s="78"/>
      <c r="R408" s="72"/>
      <c r="S408" s="72"/>
      <c r="U408" s="13"/>
      <c r="V408" s="72"/>
      <c r="W408" s="46"/>
      <c r="X408" s="2"/>
      <c r="AN408" s="1"/>
      <c r="AO408" s="5"/>
    </row>
    <row r="409" spans="4:41" x14ac:dyDescent="0.15">
      <c r="D409" s="100"/>
      <c r="E409" s="100"/>
      <c r="F409" s="96"/>
      <c r="G409" s="96"/>
      <c r="H409" s="78"/>
      <c r="I409" s="78"/>
      <c r="J409" s="78"/>
      <c r="K409" s="78"/>
      <c r="L409" s="78"/>
      <c r="M409" s="78"/>
      <c r="N409" s="78"/>
      <c r="O409" s="78"/>
      <c r="P409" s="78"/>
      <c r="Q409" s="78"/>
      <c r="R409" s="72"/>
      <c r="S409" s="72"/>
      <c r="T409" s="72"/>
      <c r="U409" s="13"/>
      <c r="V409" s="72"/>
      <c r="W409" s="46"/>
      <c r="X409" s="2"/>
      <c r="AN409" s="1"/>
      <c r="AO409" s="5"/>
    </row>
    <row r="410" spans="4:41" x14ac:dyDescent="0.15">
      <c r="D410" s="100"/>
      <c r="E410" s="100"/>
      <c r="F410" s="96"/>
      <c r="G410" s="96"/>
      <c r="H410" s="78"/>
      <c r="I410" s="78"/>
      <c r="J410" s="78"/>
      <c r="K410" s="78"/>
      <c r="L410" s="78"/>
      <c r="M410" s="78"/>
      <c r="N410" s="78"/>
      <c r="O410" s="78"/>
      <c r="P410" s="78"/>
      <c r="Q410" s="78"/>
      <c r="R410" s="72"/>
      <c r="S410" s="72"/>
      <c r="U410" s="13"/>
      <c r="V410" s="72"/>
      <c r="W410" s="46"/>
      <c r="X410" s="2"/>
      <c r="AN410" s="1"/>
      <c r="AO410" s="5"/>
    </row>
    <row r="411" spans="4:41" x14ac:dyDescent="0.15">
      <c r="D411" s="100"/>
      <c r="E411" s="100"/>
      <c r="F411" s="96"/>
      <c r="G411" s="96"/>
      <c r="H411" s="78"/>
      <c r="I411" s="78"/>
      <c r="J411" s="78"/>
      <c r="K411" s="78"/>
      <c r="L411" s="78"/>
      <c r="M411" s="78"/>
      <c r="N411" s="78"/>
      <c r="O411" s="78"/>
      <c r="P411" s="78"/>
      <c r="Q411" s="78"/>
      <c r="R411" s="72"/>
      <c r="S411" s="72"/>
      <c r="T411" s="72"/>
      <c r="U411" s="13"/>
      <c r="V411" s="72"/>
      <c r="W411" s="46"/>
      <c r="X411" s="2"/>
      <c r="AN411" s="1"/>
      <c r="AO411" s="5"/>
    </row>
    <row r="412" spans="4:41" x14ac:dyDescent="0.15">
      <c r="D412" s="100"/>
      <c r="E412" s="100"/>
      <c r="F412" s="96"/>
      <c r="G412" s="96"/>
      <c r="H412" s="78"/>
      <c r="I412" s="78"/>
      <c r="J412" s="78"/>
      <c r="K412" s="78"/>
      <c r="L412" s="78"/>
      <c r="M412" s="78"/>
      <c r="N412" s="78"/>
      <c r="O412" s="78"/>
      <c r="P412" s="78"/>
      <c r="Q412" s="78"/>
      <c r="R412" s="72"/>
      <c r="S412" s="72"/>
      <c r="T412" s="72"/>
      <c r="U412" s="13"/>
      <c r="V412" s="72"/>
      <c r="W412" s="46"/>
      <c r="X412" s="2"/>
      <c r="AN412" s="1"/>
      <c r="AO412" s="5"/>
    </row>
    <row r="413" spans="4:41" x14ac:dyDescent="0.15">
      <c r="D413" s="100"/>
      <c r="E413" s="100"/>
      <c r="F413" s="96"/>
      <c r="G413" s="96"/>
      <c r="H413" s="78"/>
      <c r="I413" s="78"/>
      <c r="J413" s="78"/>
      <c r="K413" s="78"/>
      <c r="L413" s="78"/>
      <c r="M413" s="78"/>
      <c r="N413" s="78"/>
      <c r="O413" s="78"/>
      <c r="P413" s="78"/>
      <c r="Q413" s="78"/>
      <c r="R413" s="72"/>
      <c r="S413" s="72"/>
      <c r="T413" s="72"/>
      <c r="U413" s="13"/>
      <c r="V413" s="72"/>
      <c r="W413" s="46"/>
      <c r="X413" s="2"/>
      <c r="AN413" s="1"/>
      <c r="AO413" s="5"/>
    </row>
    <row r="414" spans="4:41" x14ac:dyDescent="0.15">
      <c r="D414" s="100"/>
      <c r="E414" s="100"/>
      <c r="F414" s="96"/>
      <c r="G414" s="96"/>
      <c r="H414" s="78"/>
      <c r="I414" s="78"/>
      <c r="J414" s="78"/>
      <c r="K414" s="78"/>
      <c r="L414" s="78"/>
      <c r="M414" s="78"/>
      <c r="N414" s="78"/>
      <c r="O414" s="78"/>
      <c r="P414" s="78"/>
      <c r="Q414" s="78"/>
      <c r="R414" s="72"/>
      <c r="S414" s="72"/>
      <c r="T414" s="72"/>
      <c r="U414" s="13"/>
      <c r="V414" s="72"/>
      <c r="W414" s="46"/>
      <c r="X414" s="2"/>
      <c r="AN414" s="1"/>
      <c r="AO414" s="5"/>
    </row>
    <row r="415" spans="4:41" x14ac:dyDescent="0.15">
      <c r="D415" s="100"/>
      <c r="E415" s="100"/>
      <c r="F415" s="96"/>
      <c r="G415" s="96"/>
      <c r="H415" s="78"/>
      <c r="I415" s="78"/>
      <c r="J415" s="78"/>
      <c r="K415" s="78"/>
      <c r="L415" s="78"/>
      <c r="M415" s="78"/>
      <c r="N415" s="78"/>
      <c r="O415" s="78"/>
      <c r="P415" s="78"/>
      <c r="Q415" s="78"/>
      <c r="R415" s="72"/>
      <c r="S415" s="72"/>
      <c r="T415" s="72"/>
      <c r="U415" s="13"/>
      <c r="V415" s="72"/>
      <c r="W415" s="46"/>
      <c r="X415" s="2"/>
      <c r="AN415" s="1"/>
      <c r="AO415" s="5"/>
    </row>
    <row r="416" spans="4:41" x14ac:dyDescent="0.15">
      <c r="D416" s="100"/>
      <c r="E416" s="100"/>
      <c r="F416" s="96"/>
      <c r="G416" s="96"/>
      <c r="H416" s="78"/>
      <c r="I416" s="78"/>
      <c r="J416" s="78"/>
      <c r="K416" s="78"/>
      <c r="L416" s="78"/>
      <c r="M416" s="78"/>
      <c r="N416" s="78"/>
      <c r="O416" s="78"/>
      <c r="P416" s="78"/>
      <c r="Q416" s="78"/>
      <c r="R416" s="72"/>
      <c r="S416" s="72"/>
      <c r="T416" s="72"/>
      <c r="U416" s="13"/>
      <c r="V416" s="72"/>
      <c r="W416" s="46"/>
      <c r="X416" s="2"/>
      <c r="AN416" s="1"/>
      <c r="AO416" s="5"/>
    </row>
    <row r="417" spans="2:41" x14ac:dyDescent="0.15">
      <c r="D417" s="100"/>
      <c r="E417" s="100"/>
      <c r="F417" s="96"/>
      <c r="G417" s="96"/>
      <c r="H417" s="78"/>
      <c r="I417" s="78"/>
      <c r="J417" s="78"/>
      <c r="K417" s="78"/>
      <c r="L417" s="78"/>
      <c r="M417" s="78"/>
      <c r="N417" s="78"/>
      <c r="O417" s="78"/>
      <c r="P417" s="78"/>
      <c r="Q417" s="78"/>
      <c r="R417" s="72"/>
      <c r="S417" s="72"/>
      <c r="T417" s="72"/>
      <c r="U417" s="13"/>
      <c r="V417" s="72"/>
      <c r="W417" s="46"/>
      <c r="X417" s="2"/>
      <c r="AN417" s="1"/>
      <c r="AO417" s="5"/>
    </row>
    <row r="418" spans="2:41" x14ac:dyDescent="0.15">
      <c r="D418" s="100"/>
      <c r="E418" s="100"/>
      <c r="F418" s="96"/>
      <c r="G418" s="96"/>
      <c r="H418" s="78"/>
      <c r="I418" s="78"/>
      <c r="J418" s="78"/>
      <c r="K418" s="78"/>
      <c r="L418" s="78"/>
      <c r="M418" s="78"/>
      <c r="N418" s="78"/>
      <c r="O418" s="78"/>
      <c r="P418" s="78"/>
      <c r="Q418" s="78"/>
      <c r="R418" s="72"/>
      <c r="S418" s="72"/>
      <c r="T418" s="72"/>
      <c r="U418" s="13"/>
      <c r="V418" s="72"/>
      <c r="W418" s="46"/>
      <c r="X418" s="2"/>
      <c r="AN418" s="1"/>
      <c r="AO418" s="5"/>
    </row>
    <row r="419" spans="2:41" x14ac:dyDescent="0.15">
      <c r="D419" s="100"/>
      <c r="E419" s="100"/>
      <c r="F419" s="96"/>
      <c r="G419" s="96"/>
      <c r="H419" s="78"/>
      <c r="I419" s="78"/>
      <c r="J419" s="78"/>
      <c r="K419" s="78"/>
      <c r="L419" s="78"/>
      <c r="M419" s="78"/>
      <c r="N419" s="78"/>
      <c r="O419" s="78"/>
      <c r="P419" s="78"/>
      <c r="Q419" s="78"/>
      <c r="R419" s="72"/>
      <c r="S419" s="72"/>
      <c r="T419" s="72"/>
      <c r="U419" s="13"/>
      <c r="V419" s="72"/>
      <c r="W419" s="46"/>
      <c r="X419" s="2"/>
      <c r="AN419" s="1"/>
      <c r="AO419" s="5"/>
    </row>
    <row r="420" spans="2:41" x14ac:dyDescent="0.15">
      <c r="D420" s="100"/>
      <c r="E420" s="100"/>
      <c r="F420" s="96"/>
      <c r="G420" s="96"/>
      <c r="H420" s="78"/>
      <c r="I420" s="78"/>
      <c r="J420" s="78"/>
      <c r="K420" s="78"/>
      <c r="L420" s="78"/>
      <c r="M420" s="78"/>
      <c r="N420" s="78"/>
      <c r="O420" s="78"/>
      <c r="P420" s="78"/>
      <c r="Q420" s="78"/>
      <c r="R420" s="72"/>
      <c r="S420" s="72"/>
      <c r="T420" s="72"/>
      <c r="U420" s="13"/>
      <c r="V420" s="72"/>
      <c r="W420" s="46"/>
      <c r="X420" s="2"/>
      <c r="AN420" s="1"/>
      <c r="AO420" s="5"/>
    </row>
    <row r="421" spans="2:41" x14ac:dyDescent="0.15">
      <c r="D421" s="100"/>
      <c r="E421" s="100"/>
      <c r="F421" s="96"/>
      <c r="G421" s="96"/>
      <c r="H421" s="78"/>
      <c r="I421" s="78"/>
      <c r="J421" s="78"/>
      <c r="K421" s="78"/>
      <c r="L421" s="78"/>
      <c r="M421" s="78"/>
      <c r="N421" s="78"/>
      <c r="O421" s="78"/>
      <c r="P421" s="78"/>
      <c r="Q421" s="78"/>
      <c r="R421" s="72"/>
      <c r="S421" s="72"/>
      <c r="T421" s="72"/>
      <c r="U421" s="13"/>
      <c r="V421" s="72"/>
      <c r="W421" s="46"/>
      <c r="X421" s="2"/>
      <c r="AN421" s="1"/>
      <c r="AO421" s="5"/>
    </row>
    <row r="422" spans="2:41" ht="14.25" thickBot="1" x14ac:dyDescent="0.2">
      <c r="B422" s="10" t="s">
        <v>131</v>
      </c>
      <c r="G422" s="11"/>
      <c r="K422" s="52"/>
      <c r="O422" s="52"/>
    </row>
    <row r="423" spans="2:41" ht="12.95" customHeight="1" x14ac:dyDescent="0.15">
      <c r="D423" s="91"/>
      <c r="E423" s="92"/>
      <c r="F423" s="113"/>
      <c r="G423" s="444" t="s">
        <v>26</v>
      </c>
      <c r="H423" s="455"/>
      <c r="I423" s="455"/>
      <c r="J423" s="456"/>
      <c r="K423" s="467" t="s">
        <v>27</v>
      </c>
      <c r="L423" s="451"/>
      <c r="M423" s="451"/>
      <c r="N423" s="452"/>
      <c r="O423" s="399" t="s">
        <v>28</v>
      </c>
      <c r="P423" s="386"/>
      <c r="Q423" s="386"/>
      <c r="R423" s="387"/>
      <c r="S423" s="1"/>
      <c r="U423" s="1"/>
      <c r="Y423" s="4"/>
      <c r="AK423" s="5"/>
      <c r="AN423" s="1"/>
    </row>
    <row r="424" spans="2:41" ht="12.95" customHeight="1" x14ac:dyDescent="0.15">
      <c r="D424" s="93"/>
      <c r="E424" s="94"/>
      <c r="F424" s="94"/>
      <c r="G424" s="371"/>
      <c r="H424" s="364" t="s">
        <v>29</v>
      </c>
      <c r="I424" s="364" t="s">
        <v>30</v>
      </c>
      <c r="J424" s="374" t="s">
        <v>31</v>
      </c>
      <c r="K424" s="14"/>
      <c r="L424" s="15" t="s">
        <v>29</v>
      </c>
      <c r="M424" s="15" t="s">
        <v>30</v>
      </c>
      <c r="N424" s="375" t="s">
        <v>31</v>
      </c>
      <c r="O424" s="372"/>
      <c r="P424" s="364" t="s">
        <v>29</v>
      </c>
      <c r="Q424" s="364" t="s">
        <v>30</v>
      </c>
      <c r="R424" s="375" t="s">
        <v>31</v>
      </c>
      <c r="S424" s="1"/>
      <c r="U424" s="1"/>
      <c r="Y424" s="4"/>
      <c r="AK424" s="5"/>
      <c r="AN424" s="1"/>
    </row>
    <row r="425" spans="2:41" ht="12.95" customHeight="1" x14ac:dyDescent="0.15">
      <c r="D425" s="439" t="s">
        <v>132</v>
      </c>
      <c r="E425" s="440"/>
      <c r="F425" s="474"/>
      <c r="G425" s="54">
        <f>H425+I425+J425</f>
        <v>468</v>
      </c>
      <c r="H425" s="55">
        <v>44</v>
      </c>
      <c r="I425" s="55">
        <v>94</v>
      </c>
      <c r="J425" s="56">
        <v>330</v>
      </c>
      <c r="K425" s="54">
        <f>L425+M425+N425</f>
        <v>495</v>
      </c>
      <c r="L425" s="55">
        <v>38</v>
      </c>
      <c r="M425" s="55">
        <v>125</v>
      </c>
      <c r="N425" s="55">
        <v>332</v>
      </c>
      <c r="O425" s="55">
        <f>P425+Q425+R425</f>
        <v>519</v>
      </c>
      <c r="P425" s="55">
        <v>57</v>
      </c>
      <c r="Q425" s="55">
        <v>147</v>
      </c>
      <c r="R425" s="55">
        <v>315</v>
      </c>
      <c r="S425" s="1"/>
      <c r="U425" s="1"/>
      <c r="Y425" s="120"/>
      <c r="AK425" s="5"/>
      <c r="AN425" s="1"/>
    </row>
    <row r="426" spans="2:41" ht="12.95" customHeight="1" x14ac:dyDescent="0.15">
      <c r="D426" s="441"/>
      <c r="E426" s="442"/>
      <c r="F426" s="475"/>
      <c r="G426" s="58">
        <f t="shared" ref="G426:R426" si="96">ROUND(G425/(G$425+G$427+G$429+G$431+G$433+G$435+G$437+G$439),3)</f>
        <v>0.22600000000000001</v>
      </c>
      <c r="H426" s="59">
        <f t="shared" si="96"/>
        <v>0.26</v>
      </c>
      <c r="I426" s="59">
        <f t="shared" si="96"/>
        <v>0.21099999999999999</v>
      </c>
      <c r="J426" s="60">
        <f t="shared" si="96"/>
        <v>0.22600000000000001</v>
      </c>
      <c r="K426" s="58">
        <f t="shared" si="96"/>
        <v>0.217</v>
      </c>
      <c r="L426" s="59">
        <f t="shared" si="96"/>
        <v>0.23899999999999999</v>
      </c>
      <c r="M426" s="59">
        <f t="shared" si="96"/>
        <v>0.20300000000000001</v>
      </c>
      <c r="N426" s="59">
        <f t="shared" si="96"/>
        <v>0.221</v>
      </c>
      <c r="O426" s="59">
        <f t="shared" si="96"/>
        <v>0.216</v>
      </c>
      <c r="P426" s="59">
        <f t="shared" si="96"/>
        <v>0.253</v>
      </c>
      <c r="Q426" s="59">
        <f t="shared" si="96"/>
        <v>0.2</v>
      </c>
      <c r="R426" s="59">
        <f t="shared" si="96"/>
        <v>0.219</v>
      </c>
      <c r="S426" s="1"/>
      <c r="U426" s="1"/>
      <c r="Y426" s="120"/>
      <c r="AK426" s="5"/>
      <c r="AN426" s="1"/>
    </row>
    <row r="427" spans="2:41" ht="12.95" customHeight="1" x14ac:dyDescent="0.15">
      <c r="D427" s="497" t="s">
        <v>133</v>
      </c>
      <c r="E427" s="498"/>
      <c r="F427" s="499"/>
      <c r="G427" s="54">
        <f>H427+I427+J427</f>
        <v>441</v>
      </c>
      <c r="H427" s="55">
        <v>35</v>
      </c>
      <c r="I427" s="55">
        <v>92</v>
      </c>
      <c r="J427" s="56">
        <v>314</v>
      </c>
      <c r="K427" s="54">
        <f>L427+M427+N427</f>
        <v>441</v>
      </c>
      <c r="L427" s="55">
        <v>26</v>
      </c>
      <c r="M427" s="55">
        <v>123</v>
      </c>
      <c r="N427" s="55">
        <v>292</v>
      </c>
      <c r="O427" s="55">
        <f>P427+Q427+R427</f>
        <v>505</v>
      </c>
      <c r="P427" s="55">
        <v>40</v>
      </c>
      <c r="Q427" s="55">
        <v>158</v>
      </c>
      <c r="R427" s="55">
        <v>307</v>
      </c>
      <c r="S427" s="1"/>
      <c r="U427" s="1"/>
      <c r="X427" s="121"/>
      <c r="Y427" s="120"/>
      <c r="AK427" s="5"/>
      <c r="AN427" s="1"/>
    </row>
    <row r="428" spans="2:41" ht="12.95" customHeight="1" x14ac:dyDescent="0.15">
      <c r="D428" s="500"/>
      <c r="E428" s="501"/>
      <c r="F428" s="502"/>
      <c r="G428" s="58">
        <f t="shared" ref="G428:N428" si="97">ROUND(G427/(G$425+G$427+G$429+G$431+G$433+G$435+G$437+G$439),3)</f>
        <v>0.21299999999999999</v>
      </c>
      <c r="H428" s="59">
        <f t="shared" si="97"/>
        <v>0.20699999999999999</v>
      </c>
      <c r="I428" s="59">
        <f t="shared" si="97"/>
        <v>0.20599999999999999</v>
      </c>
      <c r="J428" s="60">
        <f t="shared" si="97"/>
        <v>0.215</v>
      </c>
      <c r="K428" s="58">
        <f t="shared" si="97"/>
        <v>0.193</v>
      </c>
      <c r="L428" s="59">
        <f t="shared" si="97"/>
        <v>0.16400000000000001</v>
      </c>
      <c r="M428" s="59">
        <f t="shared" si="97"/>
        <v>0.2</v>
      </c>
      <c r="N428" s="59">
        <f t="shared" si="97"/>
        <v>0.19400000000000001</v>
      </c>
      <c r="O428" s="59">
        <f>ROUND(O427/(O$425+O$427+O$429+O$431+O$433+O$435+O$437+O$439),3)-0.001</f>
        <v>0.21</v>
      </c>
      <c r="P428" s="59">
        <f>ROUND(P427/(P$425+P$427+P$429+P$431+P$433+P$435+P$437+P$439),3)</f>
        <v>0.17799999999999999</v>
      </c>
      <c r="Q428" s="59">
        <f>ROUND(Q427/(Q$425+Q$427+Q$429+Q$431+Q$433+Q$435+Q$437+Q$439),3)</f>
        <v>0.215</v>
      </c>
      <c r="R428" s="59">
        <f>ROUND(R427/(R$425+R$427+R$429+R$431+R$433+R$435+R$437+R$439),3)</f>
        <v>0.21299999999999999</v>
      </c>
      <c r="S428" s="1"/>
      <c r="U428" s="1"/>
      <c r="Y428" s="120"/>
      <c r="AK428" s="5"/>
      <c r="AN428" s="1"/>
    </row>
    <row r="429" spans="2:41" ht="12.95" customHeight="1" x14ac:dyDescent="0.15">
      <c r="D429" s="487" t="s">
        <v>134</v>
      </c>
      <c r="E429" s="440"/>
      <c r="F429" s="474"/>
      <c r="G429" s="54">
        <f>H429+I429+J429</f>
        <v>291</v>
      </c>
      <c r="H429" s="55">
        <v>24</v>
      </c>
      <c r="I429" s="55">
        <v>65</v>
      </c>
      <c r="J429" s="56">
        <v>202</v>
      </c>
      <c r="K429" s="54">
        <f>L429+M429+N429</f>
        <v>382</v>
      </c>
      <c r="L429" s="55">
        <v>30</v>
      </c>
      <c r="M429" s="55">
        <v>104</v>
      </c>
      <c r="N429" s="55">
        <v>248</v>
      </c>
      <c r="O429" s="55">
        <f>P429+Q429+R429</f>
        <v>407</v>
      </c>
      <c r="P429" s="55">
        <v>38</v>
      </c>
      <c r="Q429" s="55">
        <v>124</v>
      </c>
      <c r="R429" s="55">
        <v>245</v>
      </c>
      <c r="S429" s="1"/>
      <c r="U429" s="1"/>
      <c r="X429" s="121"/>
      <c r="Y429" s="120"/>
      <c r="AK429" s="5"/>
      <c r="AN429" s="1"/>
    </row>
    <row r="430" spans="2:41" ht="12.95" customHeight="1" x14ac:dyDescent="0.15">
      <c r="D430" s="441"/>
      <c r="E430" s="442"/>
      <c r="F430" s="475"/>
      <c r="G430" s="58">
        <f t="shared" ref="G430:R430" si="98">ROUND(G429/(G$425+G$427+G$429+G$431+G$433+G$435+G$437+G$439),3)</f>
        <v>0.14000000000000001</v>
      </c>
      <c r="H430" s="59">
        <f t="shared" si="98"/>
        <v>0.14199999999999999</v>
      </c>
      <c r="I430" s="59">
        <f t="shared" si="98"/>
        <v>0.14599999999999999</v>
      </c>
      <c r="J430" s="60">
        <f t="shared" si="98"/>
        <v>0.13800000000000001</v>
      </c>
      <c r="K430" s="58">
        <f t="shared" si="98"/>
        <v>0.16800000000000001</v>
      </c>
      <c r="L430" s="59">
        <f t="shared" si="98"/>
        <v>0.189</v>
      </c>
      <c r="M430" s="59">
        <f t="shared" si="98"/>
        <v>0.16900000000000001</v>
      </c>
      <c r="N430" s="59">
        <f t="shared" si="98"/>
        <v>0.16500000000000001</v>
      </c>
      <c r="O430" s="59">
        <f t="shared" si="98"/>
        <v>0.17</v>
      </c>
      <c r="P430" s="59">
        <f t="shared" si="98"/>
        <v>0.16900000000000001</v>
      </c>
      <c r="Q430" s="59">
        <f t="shared" si="98"/>
        <v>0.16900000000000001</v>
      </c>
      <c r="R430" s="59">
        <f t="shared" si="98"/>
        <v>0.17</v>
      </c>
      <c r="S430" s="1"/>
      <c r="U430" s="1"/>
      <c r="Y430" s="120"/>
      <c r="AK430" s="5"/>
      <c r="AN430" s="1"/>
    </row>
    <row r="431" spans="2:41" ht="12.95" customHeight="1" x14ac:dyDescent="0.15">
      <c r="D431" s="497" t="s">
        <v>135</v>
      </c>
      <c r="E431" s="498"/>
      <c r="F431" s="499"/>
      <c r="G431" s="54">
        <f>H431+I431+J431</f>
        <v>270</v>
      </c>
      <c r="H431" s="55">
        <v>11</v>
      </c>
      <c r="I431" s="55">
        <v>58</v>
      </c>
      <c r="J431" s="56">
        <v>201</v>
      </c>
      <c r="K431" s="54">
        <f>L431+M431+N431</f>
        <v>333</v>
      </c>
      <c r="L431" s="55">
        <v>11</v>
      </c>
      <c r="M431" s="55">
        <v>94</v>
      </c>
      <c r="N431" s="55">
        <v>228</v>
      </c>
      <c r="O431" s="55">
        <f>P431+Q431+R431</f>
        <v>336</v>
      </c>
      <c r="P431" s="55">
        <v>19</v>
      </c>
      <c r="Q431" s="55">
        <v>110</v>
      </c>
      <c r="R431" s="55">
        <v>207</v>
      </c>
      <c r="S431" s="1"/>
      <c r="U431" s="1"/>
      <c r="Y431" s="120"/>
      <c r="AK431" s="5"/>
      <c r="AN431" s="1"/>
    </row>
    <row r="432" spans="2:41" ht="12.95" customHeight="1" x14ac:dyDescent="0.15">
      <c r="D432" s="500"/>
      <c r="E432" s="501"/>
      <c r="F432" s="502"/>
      <c r="G432" s="58">
        <f t="shared" ref="G432:R432" si="99">ROUND(G431/(G$425+G$427+G$429+G$431+G$433+G$435+G$437+G$439),3)</f>
        <v>0.13</v>
      </c>
      <c r="H432" s="59">
        <f t="shared" si="99"/>
        <v>6.5000000000000002E-2</v>
      </c>
      <c r="I432" s="59">
        <f t="shared" si="99"/>
        <v>0.13</v>
      </c>
      <c r="J432" s="60">
        <f t="shared" si="99"/>
        <v>0.13800000000000001</v>
      </c>
      <c r="K432" s="58">
        <f t="shared" si="99"/>
        <v>0.14599999999999999</v>
      </c>
      <c r="L432" s="59">
        <f t="shared" si="99"/>
        <v>6.9000000000000006E-2</v>
      </c>
      <c r="M432" s="59">
        <f t="shared" si="99"/>
        <v>0.153</v>
      </c>
      <c r="N432" s="59">
        <f t="shared" si="99"/>
        <v>0.151</v>
      </c>
      <c r="O432" s="59">
        <f t="shared" si="99"/>
        <v>0.14000000000000001</v>
      </c>
      <c r="P432" s="59">
        <f t="shared" si="99"/>
        <v>8.4000000000000005E-2</v>
      </c>
      <c r="Q432" s="59">
        <f t="shared" si="99"/>
        <v>0.15</v>
      </c>
      <c r="R432" s="59">
        <f t="shared" si="99"/>
        <v>0.14399999999999999</v>
      </c>
      <c r="S432" s="1"/>
      <c r="U432" s="1"/>
      <c r="Y432" s="120"/>
      <c r="AK432" s="5"/>
      <c r="AN432" s="1"/>
    </row>
    <row r="433" spans="2:41" ht="12.95" customHeight="1" x14ac:dyDescent="0.15">
      <c r="D433" s="497" t="s">
        <v>2</v>
      </c>
      <c r="E433" s="498"/>
      <c r="F433" s="499"/>
      <c r="G433" s="54">
        <f>H433+I433+J433</f>
        <v>239</v>
      </c>
      <c r="H433" s="55">
        <v>16</v>
      </c>
      <c r="I433" s="55">
        <v>56</v>
      </c>
      <c r="J433" s="56">
        <v>167</v>
      </c>
      <c r="K433" s="54">
        <f>L433+M433+N433</f>
        <v>260</v>
      </c>
      <c r="L433" s="55">
        <v>11</v>
      </c>
      <c r="M433" s="55">
        <v>77</v>
      </c>
      <c r="N433" s="55">
        <v>172</v>
      </c>
      <c r="O433" s="55">
        <f>P433+Q433+R433</f>
        <v>278</v>
      </c>
      <c r="P433" s="55">
        <v>26</v>
      </c>
      <c r="Q433" s="55">
        <v>98</v>
      </c>
      <c r="R433" s="55">
        <v>154</v>
      </c>
      <c r="S433" s="1"/>
      <c r="U433" s="1"/>
      <c r="Y433" s="4"/>
      <c r="AK433" s="5"/>
      <c r="AN433" s="1"/>
    </row>
    <row r="434" spans="2:41" ht="12.95" customHeight="1" x14ac:dyDescent="0.15">
      <c r="D434" s="500"/>
      <c r="E434" s="501"/>
      <c r="F434" s="502"/>
      <c r="G434" s="58">
        <f t="shared" ref="G434:P434" si="100">ROUND(G433/(G$425+G$427+G$429+G$431+G$433+G$435+G$437+G$439),3)</f>
        <v>0.115</v>
      </c>
      <c r="H434" s="59">
        <f t="shared" si="100"/>
        <v>9.5000000000000001E-2</v>
      </c>
      <c r="I434" s="59">
        <f t="shared" si="100"/>
        <v>0.126</v>
      </c>
      <c r="J434" s="60">
        <f t="shared" si="100"/>
        <v>0.114</v>
      </c>
      <c r="K434" s="58">
        <f t="shared" si="100"/>
        <v>0.114</v>
      </c>
      <c r="L434" s="59">
        <f t="shared" si="100"/>
        <v>6.9000000000000006E-2</v>
      </c>
      <c r="M434" s="59">
        <f t="shared" si="100"/>
        <v>0.125</v>
      </c>
      <c r="N434" s="59">
        <f t="shared" si="100"/>
        <v>0.114</v>
      </c>
      <c r="O434" s="59">
        <f t="shared" si="100"/>
        <v>0.11600000000000001</v>
      </c>
      <c r="P434" s="59">
        <f t="shared" si="100"/>
        <v>0.11600000000000001</v>
      </c>
      <c r="Q434" s="59">
        <f>ROUND(Q433/(Q$425+Q$427+Q$429+Q$431+Q$433+Q$435+Q$437+Q$439),3)-0.001</f>
        <v>0.13300000000000001</v>
      </c>
      <c r="R434" s="59">
        <f>ROUND(R433/(R$425+R$427+R$429+R$431+R$433+R$435+R$437+R$439),3)</f>
        <v>0.107</v>
      </c>
      <c r="S434" s="1"/>
      <c r="U434" s="1"/>
      <c r="Y434" s="4"/>
      <c r="AK434" s="5"/>
      <c r="AN434" s="1"/>
    </row>
    <row r="435" spans="2:41" ht="12.95" customHeight="1" x14ac:dyDescent="0.15">
      <c r="D435" s="487" t="s">
        <v>136</v>
      </c>
      <c r="E435" s="440"/>
      <c r="F435" s="474"/>
      <c r="G435" s="54">
        <f>H435+I435+J435</f>
        <v>221</v>
      </c>
      <c r="H435" s="55">
        <v>18</v>
      </c>
      <c r="I435" s="55">
        <v>55</v>
      </c>
      <c r="J435" s="56">
        <v>148</v>
      </c>
      <c r="K435" s="54">
        <f>L435+M435+N435</f>
        <v>208</v>
      </c>
      <c r="L435" s="55">
        <v>20</v>
      </c>
      <c r="M435" s="55">
        <v>54</v>
      </c>
      <c r="N435" s="55">
        <v>134</v>
      </c>
      <c r="O435" s="55">
        <f>P435+Q435+R435</f>
        <v>187</v>
      </c>
      <c r="P435" s="55">
        <v>18</v>
      </c>
      <c r="Q435" s="55">
        <v>52</v>
      </c>
      <c r="R435" s="55">
        <v>117</v>
      </c>
      <c r="S435" s="1"/>
      <c r="U435" s="1"/>
      <c r="Y435" s="4"/>
      <c r="AK435" s="5"/>
      <c r="AN435" s="1"/>
    </row>
    <row r="436" spans="2:41" ht="12.95" customHeight="1" x14ac:dyDescent="0.15">
      <c r="D436" s="441"/>
      <c r="E436" s="442"/>
      <c r="F436" s="475"/>
      <c r="G436" s="58">
        <f t="shared" ref="G436:R436" si="101">ROUND(G435/(G$425+G$427+G$429+G$431+G$433+G$435+G$437+G$439),3)</f>
        <v>0.107</v>
      </c>
      <c r="H436" s="59">
        <f t="shared" si="101"/>
        <v>0.107</v>
      </c>
      <c r="I436" s="59">
        <f t="shared" si="101"/>
        <v>0.123</v>
      </c>
      <c r="J436" s="60">
        <f t="shared" si="101"/>
        <v>0.10100000000000001</v>
      </c>
      <c r="K436" s="58">
        <f t="shared" si="101"/>
        <v>9.0999999999999998E-2</v>
      </c>
      <c r="L436" s="59">
        <f t="shared" si="101"/>
        <v>0.126</v>
      </c>
      <c r="M436" s="59">
        <f t="shared" si="101"/>
        <v>8.7999999999999995E-2</v>
      </c>
      <c r="N436" s="59">
        <f t="shared" si="101"/>
        <v>8.8999999999999996E-2</v>
      </c>
      <c r="O436" s="59">
        <f t="shared" si="101"/>
        <v>7.8E-2</v>
      </c>
      <c r="P436" s="59">
        <f t="shared" si="101"/>
        <v>0.08</v>
      </c>
      <c r="Q436" s="59">
        <f t="shared" si="101"/>
        <v>7.0999999999999994E-2</v>
      </c>
      <c r="R436" s="59">
        <f t="shared" si="101"/>
        <v>8.1000000000000003E-2</v>
      </c>
      <c r="S436" s="1"/>
      <c r="U436" s="1"/>
      <c r="Y436" s="4"/>
      <c r="AK436" s="5"/>
      <c r="AN436" s="1"/>
    </row>
    <row r="437" spans="2:41" ht="12.95" customHeight="1" x14ac:dyDescent="0.15">
      <c r="D437" s="487" t="s">
        <v>137</v>
      </c>
      <c r="E437" s="440"/>
      <c r="F437" s="474"/>
      <c r="G437" s="54">
        <f>H437+I437+J437</f>
        <v>86</v>
      </c>
      <c r="H437" s="55">
        <v>11</v>
      </c>
      <c r="I437" s="55">
        <v>18</v>
      </c>
      <c r="J437" s="56">
        <v>57</v>
      </c>
      <c r="K437" s="54">
        <f>L437+M437+N437</f>
        <v>94</v>
      </c>
      <c r="L437" s="55">
        <v>15</v>
      </c>
      <c r="M437" s="55">
        <v>20</v>
      </c>
      <c r="N437" s="55">
        <v>59</v>
      </c>
      <c r="O437" s="55">
        <f>P437+Q437+R437</f>
        <v>107</v>
      </c>
      <c r="P437" s="55">
        <v>20</v>
      </c>
      <c r="Q437" s="55">
        <v>27</v>
      </c>
      <c r="R437" s="55">
        <v>60</v>
      </c>
      <c r="S437" s="1"/>
      <c r="U437" s="1"/>
      <c r="Y437" s="4"/>
      <c r="AK437" s="5"/>
      <c r="AN437" s="1"/>
    </row>
    <row r="438" spans="2:41" ht="12.95" customHeight="1" x14ac:dyDescent="0.15">
      <c r="D438" s="441"/>
      <c r="E438" s="442"/>
      <c r="F438" s="475"/>
      <c r="G438" s="58">
        <f t="shared" ref="G438:R438" si="102">ROUND(G437/(G$425+G$427+G$429+G$431+G$433+G$435+G$437+G$439),3)</f>
        <v>4.1000000000000002E-2</v>
      </c>
      <c r="H438" s="59">
        <f t="shared" si="102"/>
        <v>6.5000000000000002E-2</v>
      </c>
      <c r="I438" s="59">
        <f t="shared" si="102"/>
        <v>0.04</v>
      </c>
      <c r="J438" s="60">
        <f t="shared" si="102"/>
        <v>3.9E-2</v>
      </c>
      <c r="K438" s="58">
        <f t="shared" si="102"/>
        <v>4.1000000000000002E-2</v>
      </c>
      <c r="L438" s="59">
        <f t="shared" si="102"/>
        <v>9.4E-2</v>
      </c>
      <c r="M438" s="59">
        <f t="shared" si="102"/>
        <v>3.2000000000000001E-2</v>
      </c>
      <c r="N438" s="59">
        <f t="shared" si="102"/>
        <v>3.9E-2</v>
      </c>
      <c r="O438" s="59">
        <f t="shared" si="102"/>
        <v>4.4999999999999998E-2</v>
      </c>
      <c r="P438" s="59">
        <f t="shared" si="102"/>
        <v>8.8999999999999996E-2</v>
      </c>
      <c r="Q438" s="59">
        <f t="shared" si="102"/>
        <v>3.6999999999999998E-2</v>
      </c>
      <c r="R438" s="59">
        <f t="shared" si="102"/>
        <v>4.2000000000000003E-2</v>
      </c>
      <c r="S438" s="1"/>
      <c r="U438" s="1"/>
      <c r="Y438" s="4"/>
      <c r="AK438" s="5"/>
      <c r="AN438" s="1"/>
    </row>
    <row r="439" spans="2:41" ht="12.95" customHeight="1" x14ac:dyDescent="0.15">
      <c r="D439" s="439" t="s">
        <v>121</v>
      </c>
      <c r="E439" s="440"/>
      <c r="F439" s="474"/>
      <c r="G439" s="54">
        <f>H439+I439+J439</f>
        <v>58</v>
      </c>
      <c r="H439" s="55">
        <v>10</v>
      </c>
      <c r="I439" s="55">
        <v>8</v>
      </c>
      <c r="J439" s="56">
        <v>40</v>
      </c>
      <c r="K439" s="54">
        <f>L439+M439+N439</f>
        <v>67</v>
      </c>
      <c r="L439" s="55">
        <v>8</v>
      </c>
      <c r="M439" s="55">
        <v>19</v>
      </c>
      <c r="N439" s="55">
        <v>40</v>
      </c>
      <c r="O439" s="55">
        <f>P439+Q439+R439</f>
        <v>59</v>
      </c>
      <c r="P439" s="55">
        <v>7</v>
      </c>
      <c r="Q439" s="55">
        <v>18</v>
      </c>
      <c r="R439" s="55">
        <v>34</v>
      </c>
      <c r="S439" s="1"/>
      <c r="U439" s="1"/>
      <c r="Y439" s="4"/>
      <c r="AK439" s="5"/>
      <c r="AN439" s="1"/>
    </row>
    <row r="440" spans="2:41" ht="12.95" customHeight="1" x14ac:dyDescent="0.15">
      <c r="D440" s="441"/>
      <c r="E440" s="442"/>
      <c r="F440" s="475"/>
      <c r="G440" s="58">
        <f t="shared" ref="G440:R440" si="103">ROUND(G439/(G$425+G$427+G$429+G$431+G$433+G$435+G$437+G$439),3)</f>
        <v>2.8000000000000001E-2</v>
      </c>
      <c r="H440" s="59">
        <f t="shared" si="103"/>
        <v>5.8999999999999997E-2</v>
      </c>
      <c r="I440" s="59">
        <f t="shared" si="103"/>
        <v>1.7999999999999999E-2</v>
      </c>
      <c r="J440" s="60">
        <f t="shared" si="103"/>
        <v>2.7E-2</v>
      </c>
      <c r="K440" s="58">
        <f t="shared" si="103"/>
        <v>2.9000000000000001E-2</v>
      </c>
      <c r="L440" s="59">
        <f t="shared" si="103"/>
        <v>0.05</v>
      </c>
      <c r="M440" s="59">
        <f t="shared" si="103"/>
        <v>3.1E-2</v>
      </c>
      <c r="N440" s="59">
        <f t="shared" si="103"/>
        <v>2.7E-2</v>
      </c>
      <c r="O440" s="59">
        <f t="shared" si="103"/>
        <v>2.5000000000000001E-2</v>
      </c>
      <c r="P440" s="59">
        <f t="shared" si="103"/>
        <v>3.1E-2</v>
      </c>
      <c r="Q440" s="59">
        <f t="shared" si="103"/>
        <v>2.5000000000000001E-2</v>
      </c>
      <c r="R440" s="59">
        <f t="shared" si="103"/>
        <v>2.4E-2</v>
      </c>
      <c r="S440" s="1"/>
      <c r="U440" s="1"/>
      <c r="Y440" s="4"/>
      <c r="AK440" s="5"/>
      <c r="AN440" s="1"/>
    </row>
    <row r="441" spans="2:41" ht="12.95" customHeight="1" x14ac:dyDescent="0.15">
      <c r="D441" s="399" t="s">
        <v>53</v>
      </c>
      <c r="E441" s="386"/>
      <c r="F441" s="453"/>
      <c r="G441" s="54">
        <f t="shared" ref="G441:R442" si="104">G425+G427+G429+G431+G433+G435+G437+G439</f>
        <v>2074</v>
      </c>
      <c r="H441" s="55">
        <f t="shared" si="104"/>
        <v>169</v>
      </c>
      <c r="I441" s="55">
        <f t="shared" si="104"/>
        <v>446</v>
      </c>
      <c r="J441" s="56">
        <f t="shared" si="104"/>
        <v>1459</v>
      </c>
      <c r="K441" s="54">
        <f t="shared" si="104"/>
        <v>2280</v>
      </c>
      <c r="L441" s="55">
        <f t="shared" si="104"/>
        <v>159</v>
      </c>
      <c r="M441" s="55">
        <f t="shared" si="104"/>
        <v>616</v>
      </c>
      <c r="N441" s="55">
        <f t="shared" si="104"/>
        <v>1505</v>
      </c>
      <c r="O441" s="55">
        <f t="shared" si="104"/>
        <v>2398</v>
      </c>
      <c r="P441" s="55">
        <f t="shared" si="104"/>
        <v>225</v>
      </c>
      <c r="Q441" s="55">
        <f t="shared" si="104"/>
        <v>734</v>
      </c>
      <c r="R441" s="55">
        <f t="shared" si="104"/>
        <v>1439</v>
      </c>
      <c r="S441" s="1"/>
      <c r="U441" s="1"/>
      <c r="Y441" s="4"/>
      <c r="AK441" s="5"/>
      <c r="AN441" s="1"/>
    </row>
    <row r="442" spans="2:41" ht="13.5" customHeight="1" thickBot="1" x14ac:dyDescent="0.2">
      <c r="D442" s="400"/>
      <c r="E442" s="443"/>
      <c r="F442" s="454"/>
      <c r="G442" s="65">
        <f t="shared" si="104"/>
        <v>1</v>
      </c>
      <c r="H442" s="66">
        <f t="shared" si="104"/>
        <v>0.99999999999999978</v>
      </c>
      <c r="I442" s="66">
        <f t="shared" si="104"/>
        <v>1</v>
      </c>
      <c r="J442" s="67">
        <f t="shared" si="104"/>
        <v>0.998</v>
      </c>
      <c r="K442" s="68">
        <f t="shared" si="104"/>
        <v>0.99900000000000011</v>
      </c>
      <c r="L442" s="69">
        <f t="shared" si="104"/>
        <v>1</v>
      </c>
      <c r="M442" s="69">
        <f t="shared" si="104"/>
        <v>1.0010000000000001</v>
      </c>
      <c r="N442" s="69">
        <f t="shared" si="104"/>
        <v>1</v>
      </c>
      <c r="O442" s="69">
        <f t="shared" si="104"/>
        <v>1</v>
      </c>
      <c r="P442" s="69">
        <f t="shared" si="104"/>
        <v>0.99999999999999989</v>
      </c>
      <c r="Q442" s="69">
        <f t="shared" si="104"/>
        <v>1</v>
      </c>
      <c r="R442" s="69">
        <f t="shared" si="104"/>
        <v>1</v>
      </c>
      <c r="S442" s="1"/>
      <c r="U442" s="1"/>
      <c r="Y442" s="4"/>
      <c r="AK442" s="5"/>
      <c r="AN442" s="1"/>
    </row>
    <row r="443" spans="2:41" x14ac:dyDescent="0.15">
      <c r="D443" s="100"/>
      <c r="E443" s="100"/>
      <c r="F443" s="96"/>
      <c r="G443" s="96"/>
      <c r="H443" s="78"/>
      <c r="I443" s="78"/>
      <c r="J443" s="78"/>
      <c r="K443" s="78"/>
      <c r="L443" s="78"/>
      <c r="M443" s="78"/>
      <c r="N443" s="78"/>
      <c r="O443" s="78"/>
      <c r="P443" s="78"/>
      <c r="Q443" s="78"/>
      <c r="R443" s="72"/>
      <c r="S443" s="72"/>
      <c r="T443" s="72"/>
      <c r="U443" s="13"/>
      <c r="V443" s="72"/>
      <c r="W443" s="46"/>
      <c r="X443" s="2"/>
      <c r="AN443" s="1"/>
      <c r="AO443" s="5"/>
    </row>
    <row r="444" spans="2:41" x14ac:dyDescent="0.15">
      <c r="D444" s="100"/>
      <c r="E444" s="100"/>
      <c r="F444" s="96"/>
      <c r="G444" s="96"/>
      <c r="H444" s="78"/>
      <c r="I444" s="78"/>
      <c r="J444" s="78"/>
      <c r="K444" s="78"/>
      <c r="L444" s="78"/>
      <c r="M444" s="78"/>
      <c r="N444" s="78"/>
      <c r="O444" s="78"/>
      <c r="P444" s="78"/>
      <c r="Q444" s="78"/>
      <c r="R444" s="72"/>
      <c r="S444" s="72"/>
      <c r="T444" s="72"/>
      <c r="U444" s="13"/>
      <c r="V444" s="72"/>
      <c r="W444" s="46"/>
      <c r="X444" s="2"/>
      <c r="AN444" s="1"/>
      <c r="AO444" s="5"/>
    </row>
    <row r="445" spans="2:41" x14ac:dyDescent="0.15">
      <c r="D445" s="100"/>
      <c r="E445" s="100"/>
      <c r="F445" s="96"/>
      <c r="G445" s="96"/>
      <c r="H445" s="78"/>
      <c r="I445" s="78"/>
      <c r="J445" s="78"/>
      <c r="K445" s="78"/>
      <c r="L445" s="78"/>
      <c r="M445" s="78"/>
      <c r="N445" s="78"/>
      <c r="O445" s="78"/>
      <c r="P445" s="78"/>
      <c r="Q445" s="78"/>
      <c r="R445" s="72"/>
      <c r="S445" s="72"/>
      <c r="T445" s="72"/>
      <c r="U445" s="13"/>
      <c r="V445" s="72"/>
      <c r="W445" s="46"/>
      <c r="X445" s="2"/>
      <c r="AN445" s="1"/>
      <c r="AO445" s="5"/>
    </row>
    <row r="446" spans="2:41" x14ac:dyDescent="0.15">
      <c r="B446" s="10" t="s">
        <v>138</v>
      </c>
      <c r="K446" s="52"/>
      <c r="O446" s="52"/>
    </row>
    <row r="447" spans="2:41" ht="14.25" thickBot="1" x14ac:dyDescent="0.2">
      <c r="B447" s="10"/>
      <c r="C447" s="2" t="s">
        <v>139</v>
      </c>
      <c r="K447" s="52"/>
      <c r="O447" s="52"/>
    </row>
    <row r="448" spans="2:41" ht="12.95" customHeight="1" x14ac:dyDescent="0.15">
      <c r="D448" s="399"/>
      <c r="E448" s="386"/>
      <c r="F448" s="444" t="s">
        <v>26</v>
      </c>
      <c r="G448" s="455"/>
      <c r="H448" s="455"/>
      <c r="I448" s="456"/>
      <c r="J448" s="467" t="s">
        <v>27</v>
      </c>
      <c r="K448" s="451"/>
      <c r="L448" s="451"/>
      <c r="M448" s="452"/>
      <c r="N448" s="476" t="s">
        <v>28</v>
      </c>
      <c r="O448" s="449"/>
      <c r="P448" s="449"/>
      <c r="Q448" s="449"/>
      <c r="R448" s="1"/>
      <c r="S448" s="1"/>
      <c r="U448" s="1"/>
      <c r="Y448" s="4"/>
      <c r="AJ448" s="5"/>
      <c r="AN448" s="1"/>
    </row>
    <row r="449" spans="2:41" ht="12.95" customHeight="1" x14ac:dyDescent="0.15">
      <c r="D449" s="400"/>
      <c r="E449" s="443"/>
      <c r="F449" s="371"/>
      <c r="G449" s="364" t="s">
        <v>29</v>
      </c>
      <c r="H449" s="364" t="s">
        <v>30</v>
      </c>
      <c r="I449" s="374" t="s">
        <v>31</v>
      </c>
      <c r="J449" s="14"/>
      <c r="K449" s="15" t="s">
        <v>29</v>
      </c>
      <c r="L449" s="15" t="s">
        <v>30</v>
      </c>
      <c r="M449" s="375" t="s">
        <v>31</v>
      </c>
      <c r="N449" s="372"/>
      <c r="O449" s="364" t="s">
        <v>29</v>
      </c>
      <c r="P449" s="364" t="s">
        <v>30</v>
      </c>
      <c r="Q449" s="375" t="s">
        <v>31</v>
      </c>
      <c r="R449" s="1"/>
      <c r="S449" s="1"/>
      <c r="U449" s="1"/>
      <c r="Y449" s="4"/>
      <c r="AJ449" s="5"/>
      <c r="AN449" s="1"/>
    </row>
    <row r="450" spans="2:41" ht="12.95" customHeight="1" x14ac:dyDescent="0.15">
      <c r="D450" s="439" t="s">
        <v>140</v>
      </c>
      <c r="E450" s="440"/>
      <c r="F450" s="54">
        <f>G450+H450+I450</f>
        <v>185</v>
      </c>
      <c r="G450" s="55">
        <v>10</v>
      </c>
      <c r="H450" s="55">
        <v>52</v>
      </c>
      <c r="I450" s="56">
        <v>123</v>
      </c>
      <c r="J450" s="54">
        <f>K450+L450+M450</f>
        <v>187</v>
      </c>
      <c r="K450" s="55">
        <v>6</v>
      </c>
      <c r="L450" s="55">
        <v>69</v>
      </c>
      <c r="M450" s="55">
        <v>112</v>
      </c>
      <c r="N450" s="55">
        <f>O450+P450+Q450</f>
        <v>156</v>
      </c>
      <c r="O450" s="55">
        <v>3</v>
      </c>
      <c r="P450" s="55">
        <v>72</v>
      </c>
      <c r="Q450" s="55">
        <v>81</v>
      </c>
      <c r="R450" s="1"/>
      <c r="S450" s="1"/>
      <c r="U450" s="1"/>
      <c r="Y450" s="4"/>
      <c r="AJ450" s="5"/>
      <c r="AN450" s="1"/>
    </row>
    <row r="451" spans="2:41" ht="12.95" customHeight="1" x14ac:dyDescent="0.15">
      <c r="D451" s="441"/>
      <c r="E451" s="442"/>
      <c r="F451" s="58">
        <f t="shared" ref="F451:M451" si="105">ROUND(F450/(F$450+F$452+F$454+F$456),3)</f>
        <v>0.29499999999999998</v>
      </c>
      <c r="G451" s="59">
        <f>ROUND(G450/(G$450+G$452+G$454+G$456),4)</f>
        <v>0.1515</v>
      </c>
      <c r="H451" s="59">
        <f t="shared" si="105"/>
        <v>0.40300000000000002</v>
      </c>
      <c r="I451" s="60">
        <f t="shared" si="105"/>
        <v>0.28499999999999998</v>
      </c>
      <c r="J451" s="58">
        <f t="shared" si="105"/>
        <v>0.27900000000000003</v>
      </c>
      <c r="K451" s="59">
        <f t="shared" si="105"/>
        <v>9.8000000000000004E-2</v>
      </c>
      <c r="L451" s="59">
        <f t="shared" si="105"/>
        <v>0.371</v>
      </c>
      <c r="M451" s="59">
        <f t="shared" si="105"/>
        <v>0.26500000000000001</v>
      </c>
      <c r="N451" s="59">
        <f>ROUND(N450/(N$450+N$452+N$454+N$456),3)+0.001</f>
        <v>0.224</v>
      </c>
      <c r="O451" s="59">
        <f>ROUND(O450/(O$450+O$452+O$454+O$456),3)+0.001</f>
        <v>0.04</v>
      </c>
      <c r="P451" s="59">
        <f>ROUND(P450/(P$450+P$452+P$454+P$456),3)</f>
        <v>0.33800000000000002</v>
      </c>
      <c r="Q451" s="59">
        <f>ROUND(Q450/(Q$450+Q$452+Q$454+Q$456),3)</f>
        <v>0.19800000000000001</v>
      </c>
      <c r="R451" s="1"/>
      <c r="S451" s="1"/>
      <c r="U451" s="1"/>
      <c r="Y451" s="4"/>
      <c r="AJ451" s="5"/>
      <c r="AN451" s="1"/>
    </row>
    <row r="452" spans="2:41" ht="12.95" customHeight="1" x14ac:dyDescent="0.15">
      <c r="D452" s="439" t="s">
        <v>141</v>
      </c>
      <c r="E452" s="440"/>
      <c r="F452" s="54">
        <f>G452+H452+I452</f>
        <v>365</v>
      </c>
      <c r="G452" s="55">
        <v>18</v>
      </c>
      <c r="H452" s="55">
        <v>66</v>
      </c>
      <c r="I452" s="56">
        <v>281</v>
      </c>
      <c r="J452" s="54">
        <f>K452+L452+M452</f>
        <v>407</v>
      </c>
      <c r="K452" s="55">
        <v>20</v>
      </c>
      <c r="L452" s="55">
        <v>98</v>
      </c>
      <c r="M452" s="55">
        <v>289</v>
      </c>
      <c r="N452" s="55">
        <f>O452+P452+Q452</f>
        <v>447</v>
      </c>
      <c r="O452" s="55">
        <v>24</v>
      </c>
      <c r="P452" s="55">
        <v>112</v>
      </c>
      <c r="Q452" s="55">
        <v>311</v>
      </c>
      <c r="R452" s="1"/>
      <c r="S452" s="1"/>
      <c r="U452" s="1"/>
      <c r="Y452" s="4"/>
      <c r="AJ452" s="5"/>
      <c r="AN452" s="1"/>
    </row>
    <row r="453" spans="2:41" ht="12.95" customHeight="1" x14ac:dyDescent="0.15">
      <c r="D453" s="441"/>
      <c r="E453" s="442"/>
      <c r="F453" s="58">
        <f t="shared" ref="F453:Q453" si="106">ROUND(F452/(F$450+F$452+F$454+F$456),3)</f>
        <v>0.58199999999999996</v>
      </c>
      <c r="G453" s="59">
        <f>ROUND(G452/(G$450+G$452+G$454+G$456),4)</f>
        <v>0.2727</v>
      </c>
      <c r="H453" s="59">
        <f t="shared" si="106"/>
        <v>0.51200000000000001</v>
      </c>
      <c r="I453" s="60">
        <f t="shared" si="106"/>
        <v>0.65</v>
      </c>
      <c r="J453" s="58">
        <f t="shared" si="106"/>
        <v>0.60699999999999998</v>
      </c>
      <c r="K453" s="59">
        <f t="shared" si="106"/>
        <v>0.32800000000000001</v>
      </c>
      <c r="L453" s="59">
        <f t="shared" si="106"/>
        <v>0.52700000000000002</v>
      </c>
      <c r="M453" s="59">
        <f t="shared" si="106"/>
        <v>0.68300000000000005</v>
      </c>
      <c r="N453" s="59">
        <f t="shared" si="106"/>
        <v>0.64</v>
      </c>
      <c r="O453" s="59">
        <f t="shared" si="106"/>
        <v>0.316</v>
      </c>
      <c r="P453" s="59">
        <f t="shared" si="106"/>
        <v>0.52600000000000002</v>
      </c>
      <c r="Q453" s="59">
        <f t="shared" si="106"/>
        <v>0.76</v>
      </c>
      <c r="R453" s="1"/>
      <c r="S453" s="1"/>
      <c r="U453" s="1"/>
      <c r="Y453" s="4"/>
      <c r="AJ453" s="5"/>
      <c r="AN453" s="1"/>
    </row>
    <row r="454" spans="2:41" ht="12.95" customHeight="1" x14ac:dyDescent="0.15">
      <c r="D454" s="439" t="s">
        <v>142</v>
      </c>
      <c r="E454" s="440"/>
      <c r="F454" s="54">
        <f>G454+H454+I454</f>
        <v>62</v>
      </c>
      <c r="G454" s="55">
        <v>26</v>
      </c>
      <c r="H454" s="55">
        <v>10</v>
      </c>
      <c r="I454" s="56">
        <v>26</v>
      </c>
      <c r="J454" s="54">
        <f>K454+L454+M454</f>
        <v>56</v>
      </c>
      <c r="K454" s="55">
        <v>20</v>
      </c>
      <c r="L454" s="55">
        <v>18</v>
      </c>
      <c r="M454" s="55">
        <v>18</v>
      </c>
      <c r="N454" s="55">
        <f>O454+P454+Q454</f>
        <v>76</v>
      </c>
      <c r="O454" s="55">
        <v>34</v>
      </c>
      <c r="P454" s="55">
        <v>27</v>
      </c>
      <c r="Q454" s="55">
        <v>15</v>
      </c>
      <c r="R454" s="1"/>
      <c r="S454" s="1"/>
      <c r="U454" s="1"/>
      <c r="Y454" s="4"/>
      <c r="AJ454" s="5"/>
      <c r="AN454" s="1"/>
    </row>
    <row r="455" spans="2:41" ht="12.95" customHeight="1" x14ac:dyDescent="0.15">
      <c r="D455" s="441"/>
      <c r="E455" s="442"/>
      <c r="F455" s="58">
        <f t="shared" ref="F455:Q455" si="107">ROUND(F454/(F$450+F$452+F$454+F$456),3)</f>
        <v>9.9000000000000005E-2</v>
      </c>
      <c r="G455" s="59">
        <f>ROUND(G454/(G$450+G$452+G$454+G$456),4)</f>
        <v>0.39389999999999997</v>
      </c>
      <c r="H455" s="59">
        <f t="shared" si="107"/>
        <v>7.8E-2</v>
      </c>
      <c r="I455" s="60">
        <f t="shared" si="107"/>
        <v>0.06</v>
      </c>
      <c r="J455" s="58">
        <f t="shared" si="107"/>
        <v>8.4000000000000005E-2</v>
      </c>
      <c r="K455" s="59">
        <f t="shared" si="107"/>
        <v>0.32800000000000001</v>
      </c>
      <c r="L455" s="59">
        <f t="shared" si="107"/>
        <v>9.7000000000000003E-2</v>
      </c>
      <c r="M455" s="59">
        <f t="shared" si="107"/>
        <v>4.2999999999999997E-2</v>
      </c>
      <c r="N455" s="59">
        <f t="shared" si="107"/>
        <v>0.109</v>
      </c>
      <c r="O455" s="59">
        <f t="shared" si="107"/>
        <v>0.44700000000000001</v>
      </c>
      <c r="P455" s="59">
        <f t="shared" si="107"/>
        <v>0.127</v>
      </c>
      <c r="Q455" s="59">
        <f t="shared" si="107"/>
        <v>3.6999999999999998E-2</v>
      </c>
      <c r="R455" s="1"/>
      <c r="S455" s="1"/>
      <c r="U455" s="1"/>
      <c r="Y455" s="4"/>
      <c r="AJ455" s="5"/>
      <c r="AN455" s="1"/>
    </row>
    <row r="456" spans="2:41" ht="12.95" customHeight="1" x14ac:dyDescent="0.15">
      <c r="D456" s="439" t="s">
        <v>143</v>
      </c>
      <c r="E456" s="440"/>
      <c r="F456" s="54">
        <f>G456+H456+I456</f>
        <v>15</v>
      </c>
      <c r="G456" s="55">
        <v>12</v>
      </c>
      <c r="H456" s="55">
        <v>1</v>
      </c>
      <c r="I456" s="56">
        <v>2</v>
      </c>
      <c r="J456" s="54">
        <f>K456+L456+M456</f>
        <v>20</v>
      </c>
      <c r="K456" s="55">
        <v>15</v>
      </c>
      <c r="L456" s="55">
        <v>1</v>
      </c>
      <c r="M456" s="55">
        <v>4</v>
      </c>
      <c r="N456" s="55">
        <f>O456+P456+Q456</f>
        <v>19</v>
      </c>
      <c r="O456" s="55">
        <v>15</v>
      </c>
      <c r="P456" s="55">
        <v>2</v>
      </c>
      <c r="Q456" s="55">
        <v>2</v>
      </c>
      <c r="R456" s="1"/>
      <c r="S456" s="1"/>
      <c r="U456" s="1"/>
      <c r="Y456" s="4"/>
      <c r="AJ456" s="5"/>
      <c r="AN456" s="1"/>
    </row>
    <row r="457" spans="2:41" ht="12.95" customHeight="1" x14ac:dyDescent="0.15">
      <c r="D457" s="441"/>
      <c r="E457" s="442"/>
      <c r="F457" s="58">
        <f t="shared" ref="F457:Q457" si="108">ROUND(F456/(F$450+F$452+F$454+F$456),3)</f>
        <v>2.4E-2</v>
      </c>
      <c r="G457" s="59">
        <f t="shared" si="108"/>
        <v>0.182</v>
      </c>
      <c r="H457" s="59">
        <f>ROUND(H456/(H$450+H$452+H$454+H$456),6)</f>
        <v>7.7520000000000002E-3</v>
      </c>
      <c r="I457" s="60">
        <f t="shared" si="108"/>
        <v>5.0000000000000001E-3</v>
      </c>
      <c r="J457" s="58">
        <f t="shared" si="108"/>
        <v>0.03</v>
      </c>
      <c r="K457" s="59">
        <f t="shared" si="108"/>
        <v>0.246</v>
      </c>
      <c r="L457" s="59">
        <f t="shared" si="108"/>
        <v>5.0000000000000001E-3</v>
      </c>
      <c r="M457" s="59">
        <f t="shared" si="108"/>
        <v>8.9999999999999993E-3</v>
      </c>
      <c r="N457" s="59">
        <f t="shared" si="108"/>
        <v>2.7E-2</v>
      </c>
      <c r="O457" s="59">
        <f t="shared" si="108"/>
        <v>0.19700000000000001</v>
      </c>
      <c r="P457" s="59">
        <f t="shared" si="108"/>
        <v>8.9999999999999993E-3</v>
      </c>
      <c r="Q457" s="59">
        <f t="shared" si="108"/>
        <v>5.0000000000000001E-3</v>
      </c>
      <c r="R457" s="1"/>
      <c r="S457" s="1"/>
      <c r="U457" s="1"/>
      <c r="Y457" s="4"/>
      <c r="AJ457" s="5"/>
      <c r="AN457" s="1"/>
    </row>
    <row r="458" spans="2:41" ht="12.95" customHeight="1" x14ac:dyDescent="0.15">
      <c r="D458" s="449" t="s">
        <v>53</v>
      </c>
      <c r="E458" s="426"/>
      <c r="F458" s="54">
        <f t="shared" ref="F458:Q459" si="109">F450+F452+F454+F456</f>
        <v>627</v>
      </c>
      <c r="G458" s="55">
        <f t="shared" si="109"/>
        <v>66</v>
      </c>
      <c r="H458" s="55">
        <f t="shared" si="109"/>
        <v>129</v>
      </c>
      <c r="I458" s="56">
        <f t="shared" si="109"/>
        <v>432</v>
      </c>
      <c r="J458" s="54">
        <f t="shared" si="109"/>
        <v>670</v>
      </c>
      <c r="K458" s="55">
        <f t="shared" si="109"/>
        <v>61</v>
      </c>
      <c r="L458" s="55">
        <f t="shared" si="109"/>
        <v>186</v>
      </c>
      <c r="M458" s="55">
        <f t="shared" si="109"/>
        <v>423</v>
      </c>
      <c r="N458" s="55">
        <f t="shared" si="109"/>
        <v>698</v>
      </c>
      <c r="O458" s="55">
        <f t="shared" si="109"/>
        <v>76</v>
      </c>
      <c r="P458" s="55">
        <f t="shared" si="109"/>
        <v>213</v>
      </c>
      <c r="Q458" s="55">
        <f t="shared" si="109"/>
        <v>409</v>
      </c>
      <c r="R458" s="1"/>
      <c r="S458" s="1"/>
      <c r="U458" s="1"/>
      <c r="Y458" s="4"/>
      <c r="AJ458" s="5"/>
      <c r="AN458" s="1"/>
    </row>
    <row r="459" spans="2:41" ht="13.5" customHeight="1" thickBot="1" x14ac:dyDescent="0.2">
      <c r="D459" s="449"/>
      <c r="E459" s="426"/>
      <c r="F459" s="65">
        <f t="shared" si="109"/>
        <v>1</v>
      </c>
      <c r="G459" s="66">
        <f t="shared" si="109"/>
        <v>1.0001</v>
      </c>
      <c r="H459" s="66">
        <f t="shared" si="109"/>
        <v>1.0007520000000001</v>
      </c>
      <c r="I459" s="67">
        <f t="shared" si="109"/>
        <v>1</v>
      </c>
      <c r="J459" s="68">
        <f t="shared" si="109"/>
        <v>1</v>
      </c>
      <c r="K459" s="69">
        <f t="shared" si="109"/>
        <v>1</v>
      </c>
      <c r="L459" s="69">
        <f t="shared" si="109"/>
        <v>1</v>
      </c>
      <c r="M459" s="69">
        <f t="shared" si="109"/>
        <v>1</v>
      </c>
      <c r="N459" s="69">
        <f t="shared" si="109"/>
        <v>1</v>
      </c>
      <c r="O459" s="69">
        <f t="shared" si="109"/>
        <v>1</v>
      </c>
      <c r="P459" s="69">
        <f t="shared" si="109"/>
        <v>1</v>
      </c>
      <c r="Q459" s="69">
        <f t="shared" si="109"/>
        <v>1</v>
      </c>
      <c r="R459" s="1"/>
      <c r="S459" s="1"/>
      <c r="U459" s="1"/>
      <c r="Y459" s="4"/>
      <c r="AJ459" s="5"/>
      <c r="AN459" s="1"/>
    </row>
    <row r="460" spans="2:41" ht="13.5" customHeight="1" x14ac:dyDescent="0.15">
      <c r="D460" s="100"/>
      <c r="E460" s="100"/>
      <c r="F460" s="78"/>
      <c r="G460" s="78"/>
      <c r="H460" s="78"/>
      <c r="I460" s="78"/>
      <c r="J460" s="72"/>
      <c r="K460" s="46"/>
      <c r="N460" s="1"/>
      <c r="O460" s="1"/>
      <c r="P460" s="1"/>
      <c r="Q460" s="1"/>
      <c r="R460" s="1"/>
      <c r="S460" s="1"/>
      <c r="AF460" s="5"/>
      <c r="AN460" s="1"/>
    </row>
    <row r="461" spans="2:41" ht="13.5" customHeight="1" x14ac:dyDescent="0.15">
      <c r="D461" s="100"/>
      <c r="E461" s="100"/>
      <c r="F461" s="78"/>
      <c r="G461" s="78"/>
      <c r="H461" s="78"/>
      <c r="I461" s="78"/>
      <c r="J461" s="72"/>
      <c r="K461" s="46"/>
      <c r="N461" s="1"/>
      <c r="O461" s="1"/>
      <c r="P461" s="1"/>
      <c r="Q461" s="1"/>
      <c r="R461" s="1"/>
      <c r="S461" s="1"/>
      <c r="AF461" s="5"/>
      <c r="AN461" s="1"/>
    </row>
    <row r="462" spans="2:41" x14ac:dyDescent="0.15">
      <c r="D462" s="100"/>
      <c r="E462" s="100"/>
      <c r="F462" s="96"/>
      <c r="G462" s="96"/>
      <c r="H462" s="78"/>
      <c r="I462" s="78"/>
      <c r="J462" s="78"/>
      <c r="K462" s="78"/>
      <c r="L462" s="78"/>
      <c r="M462" s="78"/>
      <c r="N462" s="78"/>
      <c r="O462" s="78"/>
      <c r="P462" s="78"/>
      <c r="Q462" s="78"/>
      <c r="R462" s="72"/>
      <c r="S462" s="72"/>
      <c r="T462" s="72"/>
      <c r="U462" s="13"/>
      <c r="V462" s="72"/>
      <c r="W462" s="46"/>
      <c r="X462" s="2"/>
      <c r="AN462" s="1"/>
      <c r="AO462" s="5"/>
    </row>
    <row r="463" spans="2:41" ht="14.25" thickBot="1" x14ac:dyDescent="0.2">
      <c r="B463" s="10"/>
      <c r="C463" s="2" t="s">
        <v>144</v>
      </c>
      <c r="K463" s="52"/>
      <c r="O463" s="52"/>
    </row>
    <row r="464" spans="2:41" ht="12.95" customHeight="1" x14ac:dyDescent="0.15">
      <c r="D464" s="399"/>
      <c r="E464" s="386"/>
      <c r="F464" s="444" t="s">
        <v>26</v>
      </c>
      <c r="G464" s="455"/>
      <c r="H464" s="455"/>
      <c r="I464" s="456"/>
      <c r="J464" s="467" t="s">
        <v>27</v>
      </c>
      <c r="K464" s="451"/>
      <c r="L464" s="451"/>
      <c r="M464" s="452"/>
      <c r="N464" s="476" t="s">
        <v>28</v>
      </c>
      <c r="O464" s="449"/>
      <c r="P464" s="449"/>
      <c r="Q464" s="449"/>
      <c r="R464" s="1"/>
      <c r="S464" s="1"/>
      <c r="U464" s="1"/>
      <c r="Y464" s="4"/>
      <c r="AJ464" s="5"/>
      <c r="AN464" s="1"/>
    </row>
    <row r="465" spans="4:40" ht="12.95" customHeight="1" x14ac:dyDescent="0.15">
      <c r="D465" s="400"/>
      <c r="E465" s="443"/>
      <c r="F465" s="371"/>
      <c r="G465" s="364" t="s">
        <v>29</v>
      </c>
      <c r="H465" s="364" t="s">
        <v>30</v>
      </c>
      <c r="I465" s="374" t="s">
        <v>31</v>
      </c>
      <c r="J465" s="14"/>
      <c r="K465" s="15" t="s">
        <v>29</v>
      </c>
      <c r="L465" s="15" t="s">
        <v>30</v>
      </c>
      <c r="M465" s="375" t="s">
        <v>31</v>
      </c>
      <c r="N465" s="372"/>
      <c r="O465" s="364" t="s">
        <v>29</v>
      </c>
      <c r="P465" s="364" t="s">
        <v>30</v>
      </c>
      <c r="Q465" s="375" t="s">
        <v>31</v>
      </c>
      <c r="R465" s="1"/>
      <c r="S465" s="1"/>
      <c r="U465" s="1"/>
      <c r="Y465" s="4"/>
      <c r="AJ465" s="5"/>
      <c r="AN465" s="1"/>
    </row>
    <row r="466" spans="4:40" ht="12.95" customHeight="1" x14ac:dyDescent="0.15">
      <c r="D466" s="439" t="s">
        <v>140</v>
      </c>
      <c r="E466" s="440"/>
      <c r="F466" s="54">
        <f>G466+H466+I466</f>
        <v>161</v>
      </c>
      <c r="G466" s="55">
        <v>36</v>
      </c>
      <c r="H466" s="55">
        <v>29</v>
      </c>
      <c r="I466" s="56">
        <v>96</v>
      </c>
      <c r="J466" s="54">
        <f>K466+L466+M466</f>
        <v>26</v>
      </c>
      <c r="K466" s="55">
        <v>3</v>
      </c>
      <c r="L466" s="55">
        <v>6</v>
      </c>
      <c r="M466" s="55">
        <v>17</v>
      </c>
      <c r="N466" s="55">
        <f>O466+P466+Q466</f>
        <v>103</v>
      </c>
      <c r="O466" s="55">
        <v>19</v>
      </c>
      <c r="P466" s="55">
        <v>39</v>
      </c>
      <c r="Q466" s="55">
        <v>45</v>
      </c>
      <c r="R466" s="1"/>
      <c r="S466" s="1"/>
      <c r="U466" s="1"/>
      <c r="Y466" s="4"/>
      <c r="AJ466" s="5"/>
      <c r="AN466" s="1"/>
    </row>
    <row r="467" spans="4:40" ht="12.95" customHeight="1" x14ac:dyDescent="0.15">
      <c r="D467" s="441"/>
      <c r="E467" s="442"/>
      <c r="F467" s="58">
        <f>ROUND(F466/(F$466+F$468+F$470+F$472+F$474+F$476+F$478),3)</f>
        <v>0.25600000000000001</v>
      </c>
      <c r="G467" s="59">
        <f>ROUND(G466/(G$466+G$468+G$470+G$472+G$474+G$476+G$478),3)</f>
        <v>0.54500000000000004</v>
      </c>
      <c r="H467" s="59">
        <f>ROUND(H466/(H$466+H$468+H$470+H$472+H$474+H$476+H$478),3)</f>
        <v>0.22</v>
      </c>
      <c r="I467" s="60">
        <f>ROUND(I466/(I$466+I$468+I$470+I$472+I$474+I$476+I$478),3)-0.001</f>
        <v>0.221</v>
      </c>
      <c r="J467" s="58">
        <f>ROUND(J466/(J$466+J$468+J$470+J$472+J$474+J$476+J$478),3)</f>
        <v>3.9E-2</v>
      </c>
      <c r="K467" s="59">
        <f>ROUND(K466/(K$466+K$468+K$470+K$472+K$474+K$476+K$478),3)</f>
        <v>4.9000000000000002E-2</v>
      </c>
      <c r="L467" s="59">
        <f>ROUND(L466/(L$466+L$468+L$470+L$472+L$474+L$476+L$478),3)</f>
        <v>3.2000000000000001E-2</v>
      </c>
      <c r="M467" s="59">
        <f>ROUND(M466/(M$466+M$468+M$470+M$472+M$474+M$476+M$478),3)-0.001</f>
        <v>3.9E-2</v>
      </c>
      <c r="N467" s="59">
        <f>ROUND(N466/(N$466+N$468+N$470+N$472+N$474+N$476+N$478),3)</f>
        <v>0.155</v>
      </c>
      <c r="O467" s="59">
        <f>ROUND(O466/(O$466+O$468+O$470+O$472+O$474+O$476+O$478),3)</f>
        <v>0.317</v>
      </c>
      <c r="P467" s="59">
        <f>ROUND(P466/(P$466+P$468+P$470+P$472+P$474+P$476+P$478),3)</f>
        <v>0.19500000000000001</v>
      </c>
      <c r="Q467" s="59">
        <f>ROUND(Q466/(Q$466+Q$468+Q$470+Q$472+Q$474+Q$476+Q$478),3)-0.001</f>
        <v>0.111</v>
      </c>
      <c r="R467" s="1"/>
      <c r="S467" s="1"/>
      <c r="U467" s="1"/>
      <c r="Y467" s="4"/>
      <c r="AJ467" s="5"/>
      <c r="AN467" s="1"/>
    </row>
    <row r="468" spans="4:40" ht="12.95" customHeight="1" x14ac:dyDescent="0.15">
      <c r="D468" s="439" t="s">
        <v>141</v>
      </c>
      <c r="E468" s="440"/>
      <c r="F468" s="54">
        <f>G468+H468+I468</f>
        <v>111</v>
      </c>
      <c r="G468" s="55">
        <v>9</v>
      </c>
      <c r="H468" s="55">
        <v>30</v>
      </c>
      <c r="I468" s="56">
        <v>72</v>
      </c>
      <c r="J468" s="54">
        <f>K468+L468+M468</f>
        <v>220</v>
      </c>
      <c r="K468" s="55">
        <v>29</v>
      </c>
      <c r="L468" s="55">
        <v>67</v>
      </c>
      <c r="M468" s="55">
        <v>124</v>
      </c>
      <c r="N468" s="55">
        <f>O468+P468+Q468</f>
        <v>143</v>
      </c>
      <c r="O468" s="55">
        <v>15</v>
      </c>
      <c r="P468" s="55">
        <v>37</v>
      </c>
      <c r="Q468" s="55">
        <v>91</v>
      </c>
      <c r="R468" s="1"/>
      <c r="S468" s="1"/>
      <c r="U468" s="1"/>
      <c r="Y468" s="4"/>
      <c r="AJ468" s="5"/>
      <c r="AN468" s="1"/>
    </row>
    <row r="469" spans="4:40" ht="12.95" customHeight="1" x14ac:dyDescent="0.15">
      <c r="D469" s="441"/>
      <c r="E469" s="442"/>
      <c r="F469" s="58">
        <f t="shared" ref="F469:Q469" si="110">ROUND(F468/(F$466+F$468+F$470+F$472+F$474+F$476+F$478),3)</f>
        <v>0.17599999999999999</v>
      </c>
      <c r="G469" s="59">
        <f t="shared" si="110"/>
        <v>0.13600000000000001</v>
      </c>
      <c r="H469" s="59">
        <f t="shared" si="110"/>
        <v>0.22700000000000001</v>
      </c>
      <c r="I469" s="60">
        <f t="shared" si="110"/>
        <v>0.16700000000000001</v>
      </c>
      <c r="J469" s="58">
        <f t="shared" si="110"/>
        <v>0.32800000000000001</v>
      </c>
      <c r="K469" s="59">
        <f t="shared" si="110"/>
        <v>0.47499999999999998</v>
      </c>
      <c r="L469" s="59">
        <f t="shared" si="110"/>
        <v>0.36</v>
      </c>
      <c r="M469" s="59">
        <f t="shared" si="110"/>
        <v>0.29299999999999998</v>
      </c>
      <c r="N469" s="59">
        <f t="shared" si="110"/>
        <v>0.216</v>
      </c>
      <c r="O469" s="59">
        <f t="shared" si="110"/>
        <v>0.25</v>
      </c>
      <c r="P469" s="59">
        <f t="shared" si="110"/>
        <v>0.185</v>
      </c>
      <c r="Q469" s="59">
        <f t="shared" si="110"/>
        <v>0.22600000000000001</v>
      </c>
      <c r="R469" s="1"/>
      <c r="S469" s="1"/>
      <c r="U469" s="1"/>
      <c r="Y469" s="4"/>
      <c r="AJ469" s="5"/>
      <c r="AN469" s="1"/>
    </row>
    <row r="470" spans="4:40" ht="12.95" customHeight="1" x14ac:dyDescent="0.15">
      <c r="D470" s="439" t="s">
        <v>142</v>
      </c>
      <c r="E470" s="440"/>
      <c r="F470" s="54">
        <f>G470+H470+I470</f>
        <v>147</v>
      </c>
      <c r="G470" s="55">
        <v>7</v>
      </c>
      <c r="H470" s="55">
        <v>34</v>
      </c>
      <c r="I470" s="56">
        <v>106</v>
      </c>
      <c r="J470" s="54">
        <f>K470+L470+M470</f>
        <v>179</v>
      </c>
      <c r="K470" s="55">
        <v>12</v>
      </c>
      <c r="L470" s="55">
        <v>52</v>
      </c>
      <c r="M470" s="55">
        <v>115</v>
      </c>
      <c r="N470" s="55">
        <f>O470+P470+Q470</f>
        <v>170</v>
      </c>
      <c r="O470" s="55">
        <v>11</v>
      </c>
      <c r="P470" s="55">
        <v>64</v>
      </c>
      <c r="Q470" s="55">
        <v>95</v>
      </c>
      <c r="R470" s="1"/>
      <c r="S470" s="1"/>
      <c r="U470" s="1"/>
      <c r="Y470" s="4"/>
      <c r="AJ470" s="5"/>
      <c r="AN470" s="1"/>
    </row>
    <row r="471" spans="4:40" ht="12.95" customHeight="1" x14ac:dyDescent="0.15">
      <c r="D471" s="441"/>
      <c r="E471" s="442"/>
      <c r="F471" s="58">
        <f>ROUND(F470/(F$466+F$468+F$470+F$472+F$474+F$476+F$478),3)</f>
        <v>0.23300000000000001</v>
      </c>
      <c r="G471" s="59">
        <f>ROUND(G470/(G$466+G$468+G$470+G$472+G$474+G$476+G$478),3)</f>
        <v>0.106</v>
      </c>
      <c r="H471" s="59">
        <f>ROUND(H470/(H$466+H$468+H$470+H$472+H$474+H$476+H$478),3)</f>
        <v>0.25800000000000001</v>
      </c>
      <c r="I471" s="60">
        <f>ROUND(I470/(I$466+I$468+I$470+I$472+I$474+I$476+I$478),3)+0.001</f>
        <v>0.246</v>
      </c>
      <c r="J471" s="58">
        <f>ROUND(J470/(J$466+J$468+J$470+J$472+J$474+J$476+J$478),3)</f>
        <v>0.26700000000000002</v>
      </c>
      <c r="K471" s="59">
        <f>ROUND(K470/(K$466+K$468+K$470+K$472+K$474+K$476+K$478),3)</f>
        <v>0.19700000000000001</v>
      </c>
      <c r="L471" s="59">
        <f>ROUND(L470/(L$466+L$468+L$470+L$472+L$474+L$476+L$478),3)</f>
        <v>0.28000000000000003</v>
      </c>
      <c r="M471" s="59">
        <f>ROUND(M470/(M$466+M$468+M$470+M$472+M$474+M$476+M$478),3)+0.001</f>
        <v>0.27300000000000002</v>
      </c>
      <c r="N471" s="59">
        <f>ROUND(N470/(N$466+N$468+N$470+N$472+N$474+N$476+N$478),3)</f>
        <v>0.25600000000000001</v>
      </c>
      <c r="O471" s="59">
        <f>ROUND(O470/(O$466+O$468+O$470+O$472+O$474+O$476+O$478),3)</f>
        <v>0.183</v>
      </c>
      <c r="P471" s="59">
        <f>ROUND(P470/(P$466+P$468+P$470+P$472+P$474+P$476+P$478),3)</f>
        <v>0.32</v>
      </c>
      <c r="Q471" s="59">
        <f>ROUND(Q470/(Q$466+Q$468+Q$470+Q$472+Q$474+Q$476+Q$478),3)+0.001</f>
        <v>0.23699999999999999</v>
      </c>
      <c r="R471" s="1"/>
      <c r="S471" s="1"/>
      <c r="U471" s="1"/>
      <c r="Y471" s="4"/>
      <c r="AJ471" s="5"/>
      <c r="AN471" s="1"/>
    </row>
    <row r="472" spans="4:40" ht="12.95" customHeight="1" x14ac:dyDescent="0.15">
      <c r="D472" s="439" t="s">
        <v>145</v>
      </c>
      <c r="E472" s="440"/>
      <c r="F472" s="54">
        <f>G472+H472+I472</f>
        <v>121</v>
      </c>
      <c r="G472" s="55">
        <v>6</v>
      </c>
      <c r="H472" s="55">
        <v>19</v>
      </c>
      <c r="I472" s="56">
        <v>96</v>
      </c>
      <c r="J472" s="54">
        <f>K472+L472+M472</f>
        <v>135</v>
      </c>
      <c r="K472" s="55">
        <v>10</v>
      </c>
      <c r="L472" s="55">
        <v>38</v>
      </c>
      <c r="M472" s="55">
        <v>87</v>
      </c>
      <c r="N472" s="55">
        <f>O472+P472+Q472</f>
        <v>117</v>
      </c>
      <c r="O472" s="55">
        <v>6</v>
      </c>
      <c r="P472" s="55">
        <v>29</v>
      </c>
      <c r="Q472" s="55">
        <v>82</v>
      </c>
      <c r="R472" s="1"/>
      <c r="S472" s="1"/>
      <c r="U472" s="1"/>
      <c r="Y472" s="4"/>
      <c r="AJ472" s="5"/>
      <c r="AN472" s="1"/>
    </row>
    <row r="473" spans="4:40" ht="12.95" customHeight="1" x14ac:dyDescent="0.15">
      <c r="D473" s="441"/>
      <c r="E473" s="442"/>
      <c r="F473" s="58">
        <f t="shared" ref="F473:M473" si="111">ROUND(F472/(F$466+F$468+F$470+F$472+F$474+F$476+F$478),3)</f>
        <v>0.192</v>
      </c>
      <c r="G473" s="59">
        <f t="shared" si="111"/>
        <v>9.0999999999999998E-2</v>
      </c>
      <c r="H473" s="59">
        <f t="shared" si="111"/>
        <v>0.14399999999999999</v>
      </c>
      <c r="I473" s="60">
        <f t="shared" si="111"/>
        <v>0.222</v>
      </c>
      <c r="J473" s="58">
        <f t="shared" si="111"/>
        <v>0.20100000000000001</v>
      </c>
      <c r="K473" s="59">
        <f t="shared" si="111"/>
        <v>0.16400000000000001</v>
      </c>
      <c r="L473" s="59">
        <f t="shared" si="111"/>
        <v>0.20399999999999999</v>
      </c>
      <c r="M473" s="59">
        <f t="shared" si="111"/>
        <v>0.20599999999999999</v>
      </c>
      <c r="N473" s="59">
        <f>ROUND(N472/(N$466+N$468+N$470+N$472+N$474+N$476+N$478),3)+0.001</f>
        <v>0.17699999999999999</v>
      </c>
      <c r="O473" s="59">
        <f>ROUND(O472/(O$466+O$468+O$470+O$472+O$474+O$476+O$478),3)</f>
        <v>0.1</v>
      </c>
      <c r="P473" s="59">
        <f>ROUND(P472/(P$466+P$468+P$470+P$472+P$474+P$476+P$478),3)</f>
        <v>0.14499999999999999</v>
      </c>
      <c r="Q473" s="59">
        <f>ROUND(Q472/(Q$466+Q$468+Q$470+Q$472+Q$474+Q$476+Q$478),3)</f>
        <v>0.20300000000000001</v>
      </c>
      <c r="R473" s="1"/>
      <c r="S473" s="1"/>
      <c r="U473" s="1"/>
      <c r="Y473" s="4"/>
      <c r="AJ473" s="5"/>
      <c r="AN473" s="1"/>
    </row>
    <row r="474" spans="4:40" ht="12.95" customHeight="1" x14ac:dyDescent="0.15">
      <c r="D474" s="439" t="s">
        <v>146</v>
      </c>
      <c r="E474" s="440"/>
      <c r="F474" s="54">
        <f>G474+H474+I474</f>
        <v>41</v>
      </c>
      <c r="G474" s="55">
        <v>3</v>
      </c>
      <c r="H474" s="55">
        <v>5</v>
      </c>
      <c r="I474" s="56">
        <v>33</v>
      </c>
      <c r="J474" s="54">
        <f>K474+L474+M474</f>
        <v>57</v>
      </c>
      <c r="K474" s="55">
        <v>1</v>
      </c>
      <c r="L474" s="55">
        <v>11</v>
      </c>
      <c r="M474" s="55">
        <v>45</v>
      </c>
      <c r="N474" s="55">
        <f>O474+P474+Q474</f>
        <v>61</v>
      </c>
      <c r="O474" s="55">
        <v>0</v>
      </c>
      <c r="P474" s="55">
        <v>16</v>
      </c>
      <c r="Q474" s="55">
        <v>45</v>
      </c>
      <c r="R474" s="1"/>
      <c r="S474" s="1"/>
      <c r="U474" s="1"/>
      <c r="Y474" s="4"/>
      <c r="AJ474" s="5"/>
      <c r="AN474" s="1"/>
    </row>
    <row r="475" spans="4:40" ht="12.95" customHeight="1" x14ac:dyDescent="0.15">
      <c r="D475" s="441"/>
      <c r="E475" s="442"/>
      <c r="F475" s="58">
        <f t="shared" ref="F475:P475" si="112">ROUND(F474/(F$466+F$468+F$470+F$472+F$474+F$476+F$478),3)</f>
        <v>6.5000000000000002E-2</v>
      </c>
      <c r="G475" s="59">
        <f t="shared" si="112"/>
        <v>4.4999999999999998E-2</v>
      </c>
      <c r="H475" s="59">
        <f t="shared" si="112"/>
        <v>3.7999999999999999E-2</v>
      </c>
      <c r="I475" s="60">
        <f t="shared" si="112"/>
        <v>7.5999999999999998E-2</v>
      </c>
      <c r="J475" s="58">
        <f t="shared" si="112"/>
        <v>8.5000000000000006E-2</v>
      </c>
      <c r="K475" s="59">
        <f t="shared" si="112"/>
        <v>1.6E-2</v>
      </c>
      <c r="L475" s="59">
        <f t="shared" si="112"/>
        <v>5.8999999999999997E-2</v>
      </c>
      <c r="M475" s="59">
        <f t="shared" si="112"/>
        <v>0.106</v>
      </c>
      <c r="N475" s="59">
        <f t="shared" si="112"/>
        <v>9.1999999999999998E-2</v>
      </c>
      <c r="O475" s="59">
        <f t="shared" si="112"/>
        <v>0</v>
      </c>
      <c r="P475" s="59">
        <f t="shared" si="112"/>
        <v>0.08</v>
      </c>
      <c r="Q475" s="59">
        <f>ROUND(Q474/(Q$466+Q$468+Q$470+Q$472+Q$474+Q$476+Q$478),3)-0.001</f>
        <v>0.111</v>
      </c>
      <c r="R475" s="1"/>
      <c r="S475" s="1"/>
      <c r="U475" s="1"/>
      <c r="Y475" s="4"/>
      <c r="AJ475" s="5"/>
      <c r="AN475" s="1"/>
    </row>
    <row r="476" spans="4:40" ht="12.95" customHeight="1" x14ac:dyDescent="0.15">
      <c r="D476" s="439" t="s">
        <v>147</v>
      </c>
      <c r="E476" s="440"/>
      <c r="F476" s="54">
        <f>G476+H476+I476</f>
        <v>20</v>
      </c>
      <c r="G476" s="55">
        <v>1</v>
      </c>
      <c r="H476" s="55">
        <v>9</v>
      </c>
      <c r="I476" s="56">
        <v>10</v>
      </c>
      <c r="J476" s="54">
        <f>K476+L476+M476</f>
        <v>19</v>
      </c>
      <c r="K476" s="55">
        <v>4</v>
      </c>
      <c r="L476" s="55">
        <v>5</v>
      </c>
      <c r="M476" s="55">
        <v>10</v>
      </c>
      <c r="N476" s="55">
        <f>O476+P476+Q476</f>
        <v>23</v>
      </c>
      <c r="O476" s="55">
        <v>3</v>
      </c>
      <c r="P476" s="55">
        <v>4</v>
      </c>
      <c r="Q476" s="55">
        <v>16</v>
      </c>
      <c r="R476" s="1"/>
      <c r="S476" s="1"/>
      <c r="U476" s="1"/>
      <c r="Y476" s="4"/>
      <c r="AJ476" s="5"/>
      <c r="AN476" s="1"/>
    </row>
    <row r="477" spans="4:40" ht="12.95" customHeight="1" x14ac:dyDescent="0.15">
      <c r="D477" s="441"/>
      <c r="E477" s="442"/>
      <c r="F477" s="58">
        <f t="shared" ref="F477:Q477" si="113">ROUND(F476/(F$466+F$468+F$470+F$472+F$474+F$476+F$478),3)</f>
        <v>3.2000000000000001E-2</v>
      </c>
      <c r="G477" s="59">
        <f t="shared" si="113"/>
        <v>1.4999999999999999E-2</v>
      </c>
      <c r="H477" s="59">
        <f t="shared" si="113"/>
        <v>6.8000000000000005E-2</v>
      </c>
      <c r="I477" s="60">
        <f t="shared" si="113"/>
        <v>2.3E-2</v>
      </c>
      <c r="J477" s="58">
        <f t="shared" si="113"/>
        <v>2.8000000000000001E-2</v>
      </c>
      <c r="K477" s="59">
        <f t="shared" si="113"/>
        <v>6.6000000000000003E-2</v>
      </c>
      <c r="L477" s="59">
        <f t="shared" si="113"/>
        <v>2.7E-2</v>
      </c>
      <c r="M477" s="59">
        <f t="shared" si="113"/>
        <v>2.4E-2</v>
      </c>
      <c r="N477" s="59">
        <f t="shared" si="113"/>
        <v>3.5000000000000003E-2</v>
      </c>
      <c r="O477" s="59">
        <f t="shared" si="113"/>
        <v>0.05</v>
      </c>
      <c r="P477" s="59">
        <f t="shared" si="113"/>
        <v>0.02</v>
      </c>
      <c r="Q477" s="59">
        <f t="shared" si="113"/>
        <v>0.04</v>
      </c>
      <c r="R477" s="1"/>
      <c r="S477" s="1"/>
      <c r="U477" s="1"/>
      <c r="Y477" s="4"/>
      <c r="AJ477" s="5"/>
      <c r="AN477" s="1"/>
    </row>
    <row r="478" spans="4:40" ht="12.95" customHeight="1" x14ac:dyDescent="0.15">
      <c r="D478" s="439" t="s">
        <v>148</v>
      </c>
      <c r="E478" s="440"/>
      <c r="F478" s="54">
        <f>G478+H478+I478</f>
        <v>29</v>
      </c>
      <c r="G478" s="55">
        <v>4</v>
      </c>
      <c r="H478" s="55">
        <v>6</v>
      </c>
      <c r="I478" s="56">
        <v>19</v>
      </c>
      <c r="J478" s="54">
        <f>K478+L478+M478</f>
        <v>34</v>
      </c>
      <c r="K478" s="55">
        <v>2</v>
      </c>
      <c r="L478" s="55">
        <v>7</v>
      </c>
      <c r="M478" s="55">
        <v>25</v>
      </c>
      <c r="N478" s="55">
        <f>O478+P478+Q478</f>
        <v>46</v>
      </c>
      <c r="O478" s="55">
        <v>6</v>
      </c>
      <c r="P478" s="55">
        <v>11</v>
      </c>
      <c r="Q478" s="55">
        <v>29</v>
      </c>
      <c r="R478" s="1"/>
      <c r="S478" s="1"/>
      <c r="U478" s="1"/>
      <c r="Y478" s="4"/>
      <c r="AJ478" s="5"/>
      <c r="AN478" s="1"/>
    </row>
    <row r="479" spans="4:40" ht="12.95" customHeight="1" x14ac:dyDescent="0.15">
      <c r="D479" s="441"/>
      <c r="E479" s="442"/>
      <c r="F479" s="58">
        <f t="shared" ref="F479:Q479" si="114">ROUND(F478/(F$466+F$468+F$470+F$472+F$474+F$476+F$478),3)</f>
        <v>4.5999999999999999E-2</v>
      </c>
      <c r="G479" s="59">
        <f t="shared" si="114"/>
        <v>6.0999999999999999E-2</v>
      </c>
      <c r="H479" s="59">
        <f t="shared" si="114"/>
        <v>4.4999999999999998E-2</v>
      </c>
      <c r="I479" s="60">
        <f t="shared" si="114"/>
        <v>4.3999999999999997E-2</v>
      </c>
      <c r="J479" s="58">
        <f t="shared" si="114"/>
        <v>5.0999999999999997E-2</v>
      </c>
      <c r="K479" s="59">
        <f t="shared" si="114"/>
        <v>3.3000000000000002E-2</v>
      </c>
      <c r="L479" s="59">
        <f t="shared" si="114"/>
        <v>3.7999999999999999E-2</v>
      </c>
      <c r="M479" s="59">
        <f t="shared" si="114"/>
        <v>5.8999999999999997E-2</v>
      </c>
      <c r="N479" s="59">
        <f t="shared" si="114"/>
        <v>6.9000000000000006E-2</v>
      </c>
      <c r="O479" s="59">
        <f t="shared" si="114"/>
        <v>0.1</v>
      </c>
      <c r="P479" s="59">
        <f t="shared" si="114"/>
        <v>5.5E-2</v>
      </c>
      <c r="Q479" s="59">
        <f t="shared" si="114"/>
        <v>7.1999999999999995E-2</v>
      </c>
      <c r="R479" s="1"/>
      <c r="S479" s="1"/>
      <c r="U479" s="1"/>
      <c r="Y479" s="4"/>
      <c r="AJ479" s="5"/>
      <c r="AN479" s="1"/>
    </row>
    <row r="480" spans="4:40" ht="12.95" customHeight="1" x14ac:dyDescent="0.15">
      <c r="D480" s="449" t="s">
        <v>53</v>
      </c>
      <c r="E480" s="426"/>
      <c r="F480" s="54">
        <f t="shared" ref="F480:Q481" si="115">F466+F468+F470+F472+F474+F476+F478</f>
        <v>630</v>
      </c>
      <c r="G480" s="55">
        <f t="shared" si="115"/>
        <v>66</v>
      </c>
      <c r="H480" s="55">
        <f t="shared" si="115"/>
        <v>132</v>
      </c>
      <c r="I480" s="56">
        <f t="shared" si="115"/>
        <v>432</v>
      </c>
      <c r="J480" s="54">
        <f t="shared" si="115"/>
        <v>670</v>
      </c>
      <c r="K480" s="55">
        <f t="shared" si="115"/>
        <v>61</v>
      </c>
      <c r="L480" s="55">
        <f t="shared" si="115"/>
        <v>186</v>
      </c>
      <c r="M480" s="55">
        <f t="shared" si="115"/>
        <v>423</v>
      </c>
      <c r="N480" s="55">
        <f t="shared" si="115"/>
        <v>663</v>
      </c>
      <c r="O480" s="55">
        <f t="shared" si="115"/>
        <v>60</v>
      </c>
      <c r="P480" s="55">
        <f t="shared" si="115"/>
        <v>200</v>
      </c>
      <c r="Q480" s="55">
        <f t="shared" si="115"/>
        <v>403</v>
      </c>
      <c r="R480" s="1"/>
      <c r="S480" s="1"/>
      <c r="U480" s="1"/>
      <c r="Y480" s="4"/>
      <c r="AJ480" s="5"/>
      <c r="AN480" s="1"/>
    </row>
    <row r="481" spans="2:41" ht="13.5" customHeight="1" thickBot="1" x14ac:dyDescent="0.2">
      <c r="D481" s="449"/>
      <c r="E481" s="426"/>
      <c r="F481" s="65">
        <f t="shared" si="115"/>
        <v>1</v>
      </c>
      <c r="G481" s="66">
        <f t="shared" si="115"/>
        <v>0.99900000000000011</v>
      </c>
      <c r="H481" s="66">
        <f t="shared" si="115"/>
        <v>1</v>
      </c>
      <c r="I481" s="67">
        <f t="shared" si="115"/>
        <v>0.999</v>
      </c>
      <c r="J481" s="68">
        <f t="shared" si="115"/>
        <v>0.999</v>
      </c>
      <c r="K481" s="69">
        <f t="shared" si="115"/>
        <v>1</v>
      </c>
      <c r="L481" s="69">
        <f t="shared" si="115"/>
        <v>1</v>
      </c>
      <c r="M481" s="69">
        <f t="shared" si="115"/>
        <v>1</v>
      </c>
      <c r="N481" s="69">
        <f t="shared" si="115"/>
        <v>1</v>
      </c>
      <c r="O481" s="69">
        <f t="shared" si="115"/>
        <v>1</v>
      </c>
      <c r="P481" s="69">
        <f t="shared" si="115"/>
        <v>1</v>
      </c>
      <c r="Q481" s="69">
        <f t="shared" si="115"/>
        <v>1.0000000000000002</v>
      </c>
      <c r="R481" s="1"/>
      <c r="S481" s="1"/>
      <c r="U481" s="1"/>
      <c r="Y481" s="4"/>
      <c r="AJ481" s="5"/>
      <c r="AN481" s="1"/>
    </row>
    <row r="482" spans="2:41" ht="13.5" customHeight="1" x14ac:dyDescent="0.15">
      <c r="D482" s="100"/>
      <c r="E482" s="100"/>
      <c r="F482" s="78"/>
      <c r="G482" s="78"/>
      <c r="H482" s="78"/>
      <c r="I482" s="78"/>
      <c r="J482" s="72"/>
      <c r="K482" s="46"/>
      <c r="N482" s="1"/>
      <c r="O482" s="1"/>
      <c r="P482" s="1"/>
      <c r="Q482" s="1"/>
      <c r="R482" s="1"/>
      <c r="S482" s="1"/>
      <c r="AF482" s="5"/>
      <c r="AN482" s="1"/>
    </row>
    <row r="483" spans="2:41" ht="13.5" customHeight="1" x14ac:dyDescent="0.15">
      <c r="D483" s="100"/>
      <c r="E483" s="100"/>
      <c r="F483" s="78"/>
      <c r="G483" s="78"/>
      <c r="H483" s="78"/>
      <c r="I483" s="78"/>
      <c r="J483" s="72"/>
      <c r="K483" s="46"/>
      <c r="N483" s="1"/>
      <c r="O483" s="1"/>
      <c r="P483" s="1"/>
      <c r="Q483" s="1"/>
      <c r="R483" s="1"/>
      <c r="S483" s="1"/>
      <c r="AF483" s="5"/>
      <c r="AN483" s="1"/>
    </row>
    <row r="484" spans="2:41" x14ac:dyDescent="0.15">
      <c r="D484" s="100"/>
      <c r="E484" s="100"/>
      <c r="F484" s="96"/>
      <c r="G484" s="96"/>
      <c r="H484" s="78"/>
      <c r="I484" s="78"/>
      <c r="J484" s="78"/>
      <c r="K484" s="78"/>
      <c r="L484" s="78"/>
      <c r="M484" s="78"/>
      <c r="N484" s="78"/>
      <c r="O484" s="78"/>
      <c r="P484" s="78"/>
      <c r="Q484" s="78"/>
      <c r="R484" s="72"/>
      <c r="S484" s="72"/>
      <c r="T484" s="72"/>
      <c r="U484" s="13"/>
      <c r="V484" s="72"/>
      <c r="W484" s="46"/>
      <c r="X484" s="2"/>
      <c r="AN484" s="1"/>
      <c r="AO484" s="5"/>
    </row>
    <row r="485" spans="2:41" ht="14.25" thickBot="1" x14ac:dyDescent="0.2">
      <c r="B485" s="10" t="s">
        <v>149</v>
      </c>
      <c r="G485" s="11"/>
      <c r="K485" s="52"/>
      <c r="O485" s="52"/>
    </row>
    <row r="486" spans="2:41" x14ac:dyDescent="0.15">
      <c r="D486" s="91"/>
      <c r="E486" s="92"/>
      <c r="F486" s="113"/>
      <c r="G486" s="444" t="s">
        <v>26</v>
      </c>
      <c r="H486" s="455"/>
      <c r="I486" s="455"/>
      <c r="J486" s="456"/>
      <c r="K486" s="467" t="s">
        <v>27</v>
      </c>
      <c r="L486" s="451"/>
      <c r="M486" s="451"/>
      <c r="N486" s="452"/>
      <c r="O486" s="476" t="s">
        <v>28</v>
      </c>
      <c r="P486" s="476"/>
      <c r="Q486" s="476"/>
      <c r="R486" s="476"/>
      <c r="S486" s="1"/>
      <c r="U486" s="1"/>
      <c r="Y486" s="4"/>
      <c r="AK486" s="5"/>
      <c r="AN486" s="1"/>
    </row>
    <row r="487" spans="2:41" x14ac:dyDescent="0.15">
      <c r="D487" s="93"/>
      <c r="E487" s="94"/>
      <c r="F487" s="94"/>
      <c r="G487" s="371"/>
      <c r="H487" s="364" t="s">
        <v>29</v>
      </c>
      <c r="I487" s="364" t="s">
        <v>30</v>
      </c>
      <c r="J487" s="374" t="s">
        <v>31</v>
      </c>
      <c r="K487" s="14"/>
      <c r="L487" s="15" t="s">
        <v>29</v>
      </c>
      <c r="M487" s="15" t="s">
        <v>30</v>
      </c>
      <c r="N487" s="375" t="s">
        <v>31</v>
      </c>
      <c r="O487" s="372"/>
      <c r="P487" s="364" t="s">
        <v>29</v>
      </c>
      <c r="Q487" s="364" t="s">
        <v>30</v>
      </c>
      <c r="R487" s="375" t="s">
        <v>31</v>
      </c>
      <c r="S487" s="1"/>
      <c r="U487" s="1"/>
      <c r="Y487" s="4"/>
      <c r="AK487" s="5"/>
      <c r="AN487" s="1"/>
    </row>
    <row r="488" spans="2:41" ht="13.5" customHeight="1" x14ac:dyDescent="0.15">
      <c r="D488" s="439" t="s">
        <v>150</v>
      </c>
      <c r="E488" s="440"/>
      <c r="F488" s="474"/>
      <c r="G488" s="54">
        <f>H488+I488+J488</f>
        <v>248</v>
      </c>
      <c r="H488" s="55">
        <v>48</v>
      </c>
      <c r="I488" s="55">
        <v>21</v>
      </c>
      <c r="J488" s="56">
        <v>179</v>
      </c>
      <c r="K488" s="54">
        <f>L488+M488+N488</f>
        <v>315</v>
      </c>
      <c r="L488" s="55">
        <v>49</v>
      </c>
      <c r="M488" s="55">
        <v>58</v>
      </c>
      <c r="N488" s="55">
        <v>208</v>
      </c>
      <c r="O488" s="55">
        <f>P488+Q488+R488</f>
        <v>388</v>
      </c>
      <c r="P488" s="55">
        <v>68</v>
      </c>
      <c r="Q488" s="55">
        <v>77</v>
      </c>
      <c r="R488" s="55">
        <v>243</v>
      </c>
      <c r="S488" s="1"/>
      <c r="U488" s="1"/>
      <c r="Y488" s="4"/>
      <c r="AK488" s="5"/>
      <c r="AN488" s="1"/>
    </row>
    <row r="489" spans="2:41" s="129" customFormat="1" x14ac:dyDescent="0.15">
      <c r="B489" s="125"/>
      <c r="C489" s="125"/>
      <c r="D489" s="441"/>
      <c r="E489" s="442"/>
      <c r="F489" s="475"/>
      <c r="G489" s="126">
        <f t="shared" ref="G489:R489" si="116">ROUND(G488/(G$488+G$490+G$492+G$494+G$496+G$498+G$500+G$502),3)</f>
        <v>0.64200000000000002</v>
      </c>
      <c r="H489" s="127">
        <f t="shared" si="116"/>
        <v>0.88900000000000001</v>
      </c>
      <c r="I489" s="127">
        <f t="shared" si="116"/>
        <v>0.375</v>
      </c>
      <c r="J489" s="128">
        <f t="shared" si="116"/>
        <v>0.64900000000000002</v>
      </c>
      <c r="K489" s="126">
        <f t="shared" si="116"/>
        <v>0.68</v>
      </c>
      <c r="L489" s="127">
        <f t="shared" si="116"/>
        <v>0.875</v>
      </c>
      <c r="M489" s="127">
        <f t="shared" si="116"/>
        <v>0.51300000000000001</v>
      </c>
      <c r="N489" s="127">
        <f t="shared" si="116"/>
        <v>0.70699999999999996</v>
      </c>
      <c r="O489" s="127">
        <f t="shared" si="116"/>
        <v>0.76100000000000001</v>
      </c>
      <c r="P489" s="127">
        <f t="shared" si="116"/>
        <v>0.91900000000000004</v>
      </c>
      <c r="Q489" s="127">
        <f t="shared" si="116"/>
        <v>0.56200000000000006</v>
      </c>
      <c r="R489" s="127">
        <f t="shared" si="116"/>
        <v>0.81299999999999994</v>
      </c>
      <c r="Y489" s="130"/>
      <c r="AK489" s="5"/>
    </row>
    <row r="490" spans="2:41" ht="13.5" customHeight="1" x14ac:dyDescent="0.15">
      <c r="D490" s="439" t="s">
        <v>151</v>
      </c>
      <c r="E490" s="440"/>
      <c r="F490" s="474"/>
      <c r="G490" s="54">
        <f>H490+I490+J490</f>
        <v>23</v>
      </c>
      <c r="H490" s="55">
        <v>1</v>
      </c>
      <c r="I490" s="55">
        <v>9</v>
      </c>
      <c r="J490" s="56">
        <v>13</v>
      </c>
      <c r="K490" s="54">
        <f>L490+M490+N490</f>
        <v>30</v>
      </c>
      <c r="L490" s="55">
        <v>4</v>
      </c>
      <c r="M490" s="55">
        <v>11</v>
      </c>
      <c r="N490" s="55">
        <v>15</v>
      </c>
      <c r="O490" s="55">
        <f>P490+Q490+R490</f>
        <v>25</v>
      </c>
      <c r="P490" s="55">
        <v>1</v>
      </c>
      <c r="Q490" s="55">
        <v>15</v>
      </c>
      <c r="R490" s="55">
        <v>9</v>
      </c>
      <c r="S490" s="1"/>
      <c r="U490" s="1"/>
      <c r="X490" s="121"/>
      <c r="Y490" s="4"/>
      <c r="AK490" s="5"/>
      <c r="AN490" s="1"/>
    </row>
    <row r="491" spans="2:41" x14ac:dyDescent="0.15">
      <c r="D491" s="441"/>
      <c r="E491" s="442"/>
      <c r="F491" s="475"/>
      <c r="G491" s="58">
        <f t="shared" ref="G491:O491" si="117">ROUND(G490/(G$488+G$490+G$492+G$494+G$496+G$498+G$500+G$502),3)</f>
        <v>0.06</v>
      </c>
      <c r="H491" s="59">
        <f t="shared" si="117"/>
        <v>1.9E-2</v>
      </c>
      <c r="I491" s="59">
        <f t="shared" si="117"/>
        <v>0.161</v>
      </c>
      <c r="J491" s="60">
        <f t="shared" si="117"/>
        <v>4.7E-2</v>
      </c>
      <c r="K491" s="58">
        <f t="shared" si="117"/>
        <v>6.5000000000000002E-2</v>
      </c>
      <c r="L491" s="59">
        <f t="shared" si="117"/>
        <v>7.0999999999999994E-2</v>
      </c>
      <c r="M491" s="59">
        <f t="shared" si="117"/>
        <v>9.7000000000000003E-2</v>
      </c>
      <c r="N491" s="59">
        <f t="shared" si="117"/>
        <v>5.0999999999999997E-2</v>
      </c>
      <c r="O491" s="59">
        <f t="shared" si="117"/>
        <v>4.9000000000000002E-2</v>
      </c>
      <c r="P491" s="59">
        <f>ROUND(P490/(P$488+P$490+P$492+P$494+P$496+P$498+P$500+P$502),3)-0.001</f>
        <v>1.3000000000000001E-2</v>
      </c>
      <c r="Q491" s="59">
        <f>ROUND(Q490/(Q$488+Q$490+Q$492+Q$494+Q$496+Q$498+Q$500+Q$502),3)+0.001</f>
        <v>0.11</v>
      </c>
      <c r="R491" s="59">
        <f>ROUND(R490/(R$488+R$490+R$492+R$494+R$496+R$498+R$500+R$502),3)</f>
        <v>0.03</v>
      </c>
      <c r="S491" s="1"/>
      <c r="U491" s="1"/>
      <c r="X491" s="129"/>
      <c r="Y491" s="4"/>
      <c r="AK491" s="5"/>
      <c r="AN491" s="1"/>
    </row>
    <row r="492" spans="2:41" ht="13.5" customHeight="1" x14ac:dyDescent="0.15">
      <c r="D492" s="487" t="s">
        <v>152</v>
      </c>
      <c r="E492" s="492"/>
      <c r="F492" s="493"/>
      <c r="G492" s="54">
        <f>H492+I492+J492</f>
        <v>61</v>
      </c>
      <c r="H492" s="55">
        <v>4</v>
      </c>
      <c r="I492" s="55">
        <v>14</v>
      </c>
      <c r="J492" s="56">
        <v>43</v>
      </c>
      <c r="K492" s="54">
        <f>L492+M492+N492</f>
        <v>51</v>
      </c>
      <c r="L492" s="55">
        <v>2</v>
      </c>
      <c r="M492" s="55">
        <v>18</v>
      </c>
      <c r="N492" s="55">
        <v>31</v>
      </c>
      <c r="O492" s="55">
        <f>P492+Q492+R492</f>
        <v>34</v>
      </c>
      <c r="P492" s="55">
        <v>2</v>
      </c>
      <c r="Q492" s="55">
        <v>16</v>
      </c>
      <c r="R492" s="55">
        <v>16</v>
      </c>
      <c r="S492" s="1"/>
      <c r="U492" s="1"/>
      <c r="Y492" s="4"/>
      <c r="AK492" s="5"/>
      <c r="AN492" s="1"/>
    </row>
    <row r="493" spans="2:41" x14ac:dyDescent="0.15">
      <c r="D493" s="494"/>
      <c r="E493" s="495"/>
      <c r="F493" s="496"/>
      <c r="G493" s="58">
        <f t="shared" ref="G493:R493" si="118">ROUND(G492/(G$488+G$490+G$492+G$494+G$496+G$498+G$500+G$502),3)</f>
        <v>0.158</v>
      </c>
      <c r="H493" s="59">
        <f t="shared" si="118"/>
        <v>7.3999999999999996E-2</v>
      </c>
      <c r="I493" s="59">
        <f t="shared" si="118"/>
        <v>0.25</v>
      </c>
      <c r="J493" s="60">
        <f t="shared" si="118"/>
        <v>0.156</v>
      </c>
      <c r="K493" s="58">
        <f t="shared" si="118"/>
        <v>0.11</v>
      </c>
      <c r="L493" s="59">
        <f t="shared" si="118"/>
        <v>3.5999999999999997E-2</v>
      </c>
      <c r="M493" s="59">
        <f t="shared" si="118"/>
        <v>0.159</v>
      </c>
      <c r="N493" s="59">
        <f t="shared" si="118"/>
        <v>0.105</v>
      </c>
      <c r="O493" s="59">
        <f t="shared" si="118"/>
        <v>6.7000000000000004E-2</v>
      </c>
      <c r="P493" s="59">
        <f t="shared" si="118"/>
        <v>2.7E-2</v>
      </c>
      <c r="Q493" s="59">
        <f t="shared" si="118"/>
        <v>0.11700000000000001</v>
      </c>
      <c r="R493" s="59">
        <f t="shared" si="118"/>
        <v>5.3999999999999999E-2</v>
      </c>
      <c r="S493" s="1"/>
      <c r="U493" s="1"/>
      <c r="Y493" s="4"/>
      <c r="AK493" s="5"/>
      <c r="AN493" s="1"/>
    </row>
    <row r="494" spans="2:41" ht="13.5" customHeight="1" x14ac:dyDescent="0.15">
      <c r="D494" s="439" t="s">
        <v>153</v>
      </c>
      <c r="E494" s="440"/>
      <c r="F494" s="474"/>
      <c r="G494" s="54">
        <f>H494+I494+J494</f>
        <v>37</v>
      </c>
      <c r="H494" s="55">
        <v>1</v>
      </c>
      <c r="I494" s="55">
        <v>8</v>
      </c>
      <c r="J494" s="56">
        <v>28</v>
      </c>
      <c r="K494" s="54">
        <f>L494+M494+N494</f>
        <v>22</v>
      </c>
      <c r="L494" s="55">
        <v>0</v>
      </c>
      <c r="M494" s="55">
        <v>11</v>
      </c>
      <c r="N494" s="55">
        <v>11</v>
      </c>
      <c r="O494" s="55">
        <f>P494+Q494+R494</f>
        <v>23</v>
      </c>
      <c r="P494" s="55">
        <v>0</v>
      </c>
      <c r="Q494" s="55">
        <v>13</v>
      </c>
      <c r="R494" s="55">
        <v>10</v>
      </c>
      <c r="S494" s="1"/>
      <c r="U494" s="1"/>
      <c r="Y494" s="4"/>
      <c r="AK494" s="5"/>
      <c r="AN494" s="1"/>
    </row>
    <row r="495" spans="2:41" x14ac:dyDescent="0.15">
      <c r="D495" s="441"/>
      <c r="E495" s="442"/>
      <c r="F495" s="475"/>
      <c r="G495" s="58">
        <f>ROUND(G494/(G$488+G$490+G$492+G$494+G$496+G$498+G$500+G$502),3)</f>
        <v>9.6000000000000002E-2</v>
      </c>
      <c r="H495" s="59">
        <f>ROUND(H494/(H$488+H$490+H$492+H$494+H$496+H$498+H$500+H$502),3)</f>
        <v>1.9E-2</v>
      </c>
      <c r="I495" s="59">
        <f>ROUND(I494/(I$488+I$490+I$492+I$494+I$496+I$498+I$500+I$502),3)</f>
        <v>0.14299999999999999</v>
      </c>
      <c r="J495" s="60">
        <f>ROUND(J494/(J$488+J$490+J$492+J$494+J$496+J$498+J$500+J$502),3)+0.001</f>
        <v>0.10200000000000001</v>
      </c>
      <c r="K495" s="58">
        <f>ROUND(K494/(K$488+K$490+K$492+K$494+K$496+K$498+K$500+K$502),3)</f>
        <v>4.8000000000000001E-2</v>
      </c>
      <c r="L495" s="59">
        <f>ROUND(L494/(L$488+L$490+L$492+L$494+L$496+L$498+L$500+L$502),3)</f>
        <v>0</v>
      </c>
      <c r="M495" s="59">
        <f>ROUND(M494/(M$488+M$490+M$492+M$494+M$496+M$498+M$500+M$502),3)</f>
        <v>9.7000000000000003E-2</v>
      </c>
      <c r="N495" s="59">
        <f>ROUND(N494/(N$488+N$490+N$492+N$494+N$496+N$498+N$500+N$502),3)+0.001</f>
        <v>3.7999999999999999E-2</v>
      </c>
      <c r="O495" s="59">
        <f>ROUND(O494/(O$488+O$490+O$492+O$494+O$496+O$498+O$500+O$502),3)</f>
        <v>4.4999999999999998E-2</v>
      </c>
      <c r="P495" s="59">
        <f>ROUND(P494/(P$488+P$490+P$492+P$494+P$496+P$498+P$500+P$502),3)</f>
        <v>0</v>
      </c>
      <c r="Q495" s="59">
        <f>ROUND(Q494/(Q$488+Q$490+Q$492+Q$494+Q$496+Q$498+Q$500+Q$502),3)</f>
        <v>9.5000000000000001E-2</v>
      </c>
      <c r="R495" s="59">
        <f>ROUND(R494/(R$488+R$490+R$492+R$494+R$496+R$498+R$500+R$502),3)+0.001</f>
        <v>3.4000000000000002E-2</v>
      </c>
      <c r="S495" s="1"/>
      <c r="U495" s="1"/>
      <c r="Y495" s="4"/>
      <c r="AK495" s="5"/>
      <c r="AN495" s="1"/>
    </row>
    <row r="496" spans="2:41" ht="13.5" customHeight="1" x14ac:dyDescent="0.15">
      <c r="D496" s="439" t="s">
        <v>3</v>
      </c>
      <c r="E496" s="440"/>
      <c r="F496" s="474"/>
      <c r="G496" s="54">
        <f>H496+I496+J496</f>
        <v>11</v>
      </c>
      <c r="H496" s="55">
        <v>0</v>
      </c>
      <c r="I496" s="55">
        <v>4</v>
      </c>
      <c r="J496" s="56">
        <v>7</v>
      </c>
      <c r="K496" s="54">
        <f>L496+M496+N496</f>
        <v>17</v>
      </c>
      <c r="L496" s="55">
        <v>0</v>
      </c>
      <c r="M496" s="55">
        <v>8</v>
      </c>
      <c r="N496" s="55">
        <v>9</v>
      </c>
      <c r="O496" s="55">
        <f>P496+Q496+R496</f>
        <v>9</v>
      </c>
      <c r="P496" s="55">
        <v>0</v>
      </c>
      <c r="Q496" s="55">
        <v>5</v>
      </c>
      <c r="R496" s="55">
        <v>4</v>
      </c>
      <c r="S496" s="1"/>
      <c r="U496" s="1"/>
      <c r="Y496" s="4"/>
      <c r="AK496" s="5"/>
      <c r="AN496" s="1"/>
    </row>
    <row r="497" spans="2:41" x14ac:dyDescent="0.15">
      <c r="D497" s="441"/>
      <c r="E497" s="442"/>
      <c r="F497" s="475"/>
      <c r="G497" s="58">
        <f t="shared" ref="G497:N497" si="119">ROUND(G496/(G$488+G$490+G$492+G$494+G$496+G$498+G$500+G$502),3)</f>
        <v>2.8000000000000001E-2</v>
      </c>
      <c r="H497" s="59">
        <f t="shared" si="119"/>
        <v>0</v>
      </c>
      <c r="I497" s="59">
        <f t="shared" si="119"/>
        <v>7.0999999999999994E-2</v>
      </c>
      <c r="J497" s="60">
        <f t="shared" si="119"/>
        <v>2.5000000000000001E-2</v>
      </c>
      <c r="K497" s="58">
        <f t="shared" si="119"/>
        <v>3.6999999999999998E-2</v>
      </c>
      <c r="L497" s="59">
        <f t="shared" si="119"/>
        <v>0</v>
      </c>
      <c r="M497" s="59">
        <f t="shared" si="119"/>
        <v>7.0999999999999994E-2</v>
      </c>
      <c r="N497" s="59">
        <f t="shared" si="119"/>
        <v>3.1E-2</v>
      </c>
      <c r="O497" s="59">
        <f>ROUND(O496/(O$488+O$490+O$492+O$494+O$496+O$498+O$500+O$502),3)-0.001</f>
        <v>1.6999999999999998E-2</v>
      </c>
      <c r="P497" s="59">
        <f>ROUND(P496/(P$488+P$490+P$492+P$494+P$496+P$498+P$500+P$502),3)</f>
        <v>0</v>
      </c>
      <c r="Q497" s="59">
        <f>ROUND(Q496/(Q$488+Q$490+Q$492+Q$494+Q$496+Q$498+Q$500+Q$502),3)</f>
        <v>3.5999999999999997E-2</v>
      </c>
      <c r="R497" s="59">
        <f>ROUND(R496/(R$488+R$490+R$492+R$494+R$496+R$498+R$500+R$502),3)</f>
        <v>1.2999999999999999E-2</v>
      </c>
      <c r="S497" s="1"/>
      <c r="U497" s="1"/>
      <c r="Y497" s="4"/>
      <c r="AK497" s="5"/>
      <c r="AN497" s="1"/>
    </row>
    <row r="498" spans="2:41" ht="13.5" customHeight="1" x14ac:dyDescent="0.15">
      <c r="D498" s="487" t="s">
        <v>154</v>
      </c>
      <c r="E498" s="492"/>
      <c r="F498" s="493"/>
      <c r="G498" s="54">
        <f>H498+I498+J498</f>
        <v>0</v>
      </c>
      <c r="H498" s="55">
        <v>0</v>
      </c>
      <c r="I498" s="55">
        <v>0</v>
      </c>
      <c r="J498" s="56">
        <v>0</v>
      </c>
      <c r="K498" s="54">
        <f>L498+M498+N498</f>
        <v>22</v>
      </c>
      <c r="L498" s="55">
        <v>0</v>
      </c>
      <c r="M498" s="55">
        <v>5</v>
      </c>
      <c r="N498" s="55">
        <v>17</v>
      </c>
      <c r="O498" s="55">
        <f>P498+Q498+R498</f>
        <v>22</v>
      </c>
      <c r="P498" s="55">
        <v>3</v>
      </c>
      <c r="Q498" s="55">
        <v>7</v>
      </c>
      <c r="R498" s="55">
        <v>12</v>
      </c>
      <c r="S498" s="1"/>
      <c r="U498" s="1"/>
      <c r="Y498" s="4"/>
      <c r="AK498" s="5"/>
      <c r="AN498" s="1"/>
    </row>
    <row r="499" spans="2:41" x14ac:dyDescent="0.15">
      <c r="D499" s="494"/>
      <c r="E499" s="495"/>
      <c r="F499" s="496"/>
      <c r="G499" s="58">
        <f t="shared" ref="G499:R499" si="120">ROUND(G498/(G$488+G$490+G$492+G$494+G$496+G$498+G$500+G$502),3)</f>
        <v>0</v>
      </c>
      <c r="H499" s="59">
        <f t="shared" si="120"/>
        <v>0</v>
      </c>
      <c r="I499" s="59">
        <f t="shared" si="120"/>
        <v>0</v>
      </c>
      <c r="J499" s="60">
        <f t="shared" si="120"/>
        <v>0</v>
      </c>
      <c r="K499" s="58">
        <f t="shared" si="120"/>
        <v>4.8000000000000001E-2</v>
      </c>
      <c r="L499" s="59">
        <f t="shared" si="120"/>
        <v>0</v>
      </c>
      <c r="M499" s="59">
        <f t="shared" si="120"/>
        <v>4.3999999999999997E-2</v>
      </c>
      <c r="N499" s="59">
        <f t="shared" si="120"/>
        <v>5.8000000000000003E-2</v>
      </c>
      <c r="O499" s="59">
        <f t="shared" si="120"/>
        <v>4.2999999999999997E-2</v>
      </c>
      <c r="P499" s="59">
        <f t="shared" si="120"/>
        <v>4.1000000000000002E-2</v>
      </c>
      <c r="Q499" s="59">
        <f t="shared" si="120"/>
        <v>5.0999999999999997E-2</v>
      </c>
      <c r="R499" s="59">
        <f t="shared" si="120"/>
        <v>0.04</v>
      </c>
      <c r="S499" s="1"/>
      <c r="U499" s="1"/>
      <c r="Y499" s="4"/>
      <c r="AK499" s="5"/>
      <c r="AN499" s="1"/>
    </row>
    <row r="500" spans="2:41" ht="13.5" customHeight="1" x14ac:dyDescent="0.15">
      <c r="D500" s="487" t="s">
        <v>155</v>
      </c>
      <c r="E500" s="492"/>
      <c r="F500" s="493"/>
      <c r="G500" s="54">
        <f>H500+I500+J500</f>
        <v>0</v>
      </c>
      <c r="H500" s="55">
        <v>0</v>
      </c>
      <c r="I500" s="55">
        <v>0</v>
      </c>
      <c r="J500" s="56">
        <v>0</v>
      </c>
      <c r="K500" s="54">
        <f>L500+M500+N500</f>
        <v>2</v>
      </c>
      <c r="L500" s="55">
        <v>1</v>
      </c>
      <c r="M500" s="55">
        <v>0</v>
      </c>
      <c r="N500" s="55">
        <v>1</v>
      </c>
      <c r="O500" s="55">
        <f>P500+Q500+R500</f>
        <v>1</v>
      </c>
      <c r="P500" s="55">
        <v>0</v>
      </c>
      <c r="Q500" s="55">
        <v>0</v>
      </c>
      <c r="R500" s="55">
        <v>1</v>
      </c>
      <c r="S500" s="1"/>
      <c r="U500" s="1"/>
      <c r="Y500" s="4"/>
      <c r="AK500" s="5"/>
      <c r="AN500" s="1"/>
    </row>
    <row r="501" spans="2:41" x14ac:dyDescent="0.15">
      <c r="D501" s="494"/>
      <c r="E501" s="495"/>
      <c r="F501" s="496"/>
      <c r="G501" s="58">
        <f t="shared" ref="G501:R501" si="121">ROUND(G500/(G$488+G$490+G$492+G$494+G$496+G$498+G$500+G$502),3)</f>
        <v>0</v>
      </c>
      <c r="H501" s="59">
        <f t="shared" si="121"/>
        <v>0</v>
      </c>
      <c r="I501" s="59">
        <f t="shared" si="121"/>
        <v>0</v>
      </c>
      <c r="J501" s="60">
        <f t="shared" si="121"/>
        <v>0</v>
      </c>
      <c r="K501" s="58">
        <f t="shared" si="121"/>
        <v>4.0000000000000001E-3</v>
      </c>
      <c r="L501" s="59">
        <f t="shared" si="121"/>
        <v>1.7999999999999999E-2</v>
      </c>
      <c r="M501" s="59">
        <f t="shared" si="121"/>
        <v>0</v>
      </c>
      <c r="N501" s="59">
        <f t="shared" si="121"/>
        <v>3.0000000000000001E-3</v>
      </c>
      <c r="O501" s="59">
        <f t="shared" si="121"/>
        <v>2E-3</v>
      </c>
      <c r="P501" s="59">
        <f t="shared" si="121"/>
        <v>0</v>
      </c>
      <c r="Q501" s="59">
        <f t="shared" si="121"/>
        <v>0</v>
      </c>
      <c r="R501" s="59">
        <f t="shared" si="121"/>
        <v>3.0000000000000001E-3</v>
      </c>
      <c r="S501" s="1"/>
      <c r="U501" s="1"/>
      <c r="Y501" s="4"/>
      <c r="AK501" s="5"/>
      <c r="AN501" s="1"/>
    </row>
    <row r="502" spans="2:41" ht="13.5" customHeight="1" x14ac:dyDescent="0.15">
      <c r="D502" s="439" t="s">
        <v>121</v>
      </c>
      <c r="E502" s="440"/>
      <c r="F502" s="474"/>
      <c r="G502" s="54">
        <f>H502+I502+J502</f>
        <v>6</v>
      </c>
      <c r="H502" s="55"/>
      <c r="I502" s="55"/>
      <c r="J502" s="56">
        <v>6</v>
      </c>
      <c r="K502" s="54">
        <f>L502+M502+N502</f>
        <v>4</v>
      </c>
      <c r="L502" s="55">
        <v>0</v>
      </c>
      <c r="M502" s="55">
        <v>2</v>
      </c>
      <c r="N502" s="55">
        <v>2</v>
      </c>
      <c r="O502" s="55">
        <f>P502+Q502+R502</f>
        <v>8</v>
      </c>
      <c r="P502" s="55">
        <v>0</v>
      </c>
      <c r="Q502" s="55">
        <v>4</v>
      </c>
      <c r="R502" s="55">
        <v>4</v>
      </c>
      <c r="S502" s="1"/>
      <c r="U502" s="1"/>
      <c r="Y502" s="4"/>
      <c r="AK502" s="5"/>
      <c r="AN502" s="1"/>
    </row>
    <row r="503" spans="2:41" x14ac:dyDescent="0.15">
      <c r="D503" s="441"/>
      <c r="E503" s="442"/>
      <c r="F503" s="475"/>
      <c r="G503" s="58">
        <f t="shared" ref="G503:R503" si="122">ROUND(G502/(G$488+G$490+G$492+G$494+G$496+G$498+G$500+G$502),3)</f>
        <v>1.6E-2</v>
      </c>
      <c r="H503" s="59">
        <f t="shared" si="122"/>
        <v>0</v>
      </c>
      <c r="I503" s="59">
        <f t="shared" si="122"/>
        <v>0</v>
      </c>
      <c r="J503" s="60">
        <f t="shared" si="122"/>
        <v>2.1999999999999999E-2</v>
      </c>
      <c r="K503" s="58">
        <f t="shared" si="122"/>
        <v>8.9999999999999993E-3</v>
      </c>
      <c r="L503" s="59">
        <f t="shared" si="122"/>
        <v>0</v>
      </c>
      <c r="M503" s="59">
        <f t="shared" si="122"/>
        <v>1.7999999999999999E-2</v>
      </c>
      <c r="N503" s="59">
        <f t="shared" si="122"/>
        <v>7.0000000000000001E-3</v>
      </c>
      <c r="O503" s="59">
        <f t="shared" si="122"/>
        <v>1.6E-2</v>
      </c>
      <c r="P503" s="59">
        <f t="shared" si="122"/>
        <v>0</v>
      </c>
      <c r="Q503" s="59">
        <f t="shared" si="122"/>
        <v>2.9000000000000001E-2</v>
      </c>
      <c r="R503" s="59">
        <f t="shared" si="122"/>
        <v>1.2999999999999999E-2</v>
      </c>
      <c r="S503" s="1"/>
      <c r="U503" s="1"/>
      <c r="Y503" s="4"/>
      <c r="AK503" s="5"/>
      <c r="AN503" s="1"/>
    </row>
    <row r="504" spans="2:41" x14ac:dyDescent="0.15">
      <c r="D504" s="399" t="s">
        <v>53</v>
      </c>
      <c r="E504" s="386"/>
      <c r="F504" s="453"/>
      <c r="G504" s="54">
        <f t="shared" ref="G504:R505" si="123">G488+G490+G492+G494+G496+G498+G500+G502</f>
        <v>386</v>
      </c>
      <c r="H504" s="55">
        <f t="shared" si="123"/>
        <v>54</v>
      </c>
      <c r="I504" s="55">
        <f t="shared" si="123"/>
        <v>56</v>
      </c>
      <c r="J504" s="56">
        <f t="shared" si="123"/>
        <v>276</v>
      </c>
      <c r="K504" s="54">
        <f t="shared" si="123"/>
        <v>463</v>
      </c>
      <c r="L504" s="55">
        <f t="shared" si="123"/>
        <v>56</v>
      </c>
      <c r="M504" s="55">
        <f t="shared" si="123"/>
        <v>113</v>
      </c>
      <c r="N504" s="55">
        <f t="shared" si="123"/>
        <v>294</v>
      </c>
      <c r="O504" s="55">
        <f t="shared" si="123"/>
        <v>510</v>
      </c>
      <c r="P504" s="55">
        <f t="shared" si="123"/>
        <v>74</v>
      </c>
      <c r="Q504" s="55">
        <f t="shared" si="123"/>
        <v>137</v>
      </c>
      <c r="R504" s="55">
        <f t="shared" si="123"/>
        <v>299</v>
      </c>
      <c r="S504" s="1"/>
      <c r="U504" s="1"/>
      <c r="Y504" s="4"/>
      <c r="AK504" s="5"/>
      <c r="AN504" s="1"/>
    </row>
    <row r="505" spans="2:41" ht="14.25" thickBot="1" x14ac:dyDescent="0.2">
      <c r="D505" s="400"/>
      <c r="E505" s="443"/>
      <c r="F505" s="454"/>
      <c r="G505" s="65">
        <f t="shared" si="123"/>
        <v>1</v>
      </c>
      <c r="H505" s="66">
        <f t="shared" si="123"/>
        <v>1.0009999999999999</v>
      </c>
      <c r="I505" s="66">
        <f t="shared" si="123"/>
        <v>1</v>
      </c>
      <c r="J505" s="67">
        <f t="shared" si="123"/>
        <v>1.0010000000000001</v>
      </c>
      <c r="K505" s="68">
        <f t="shared" si="123"/>
        <v>1.0010000000000001</v>
      </c>
      <c r="L505" s="69">
        <f t="shared" si="123"/>
        <v>1</v>
      </c>
      <c r="M505" s="69">
        <f t="shared" si="123"/>
        <v>0.999</v>
      </c>
      <c r="N505" s="69">
        <f t="shared" si="123"/>
        <v>1</v>
      </c>
      <c r="O505" s="69">
        <f t="shared" si="123"/>
        <v>1</v>
      </c>
      <c r="P505" s="69">
        <f t="shared" si="123"/>
        <v>1</v>
      </c>
      <c r="Q505" s="69">
        <f t="shared" si="123"/>
        <v>1</v>
      </c>
      <c r="R505" s="69">
        <f t="shared" si="123"/>
        <v>1</v>
      </c>
      <c r="S505" s="1"/>
      <c r="U505" s="1"/>
      <c r="Y505" s="4"/>
      <c r="AK505" s="5"/>
      <c r="AN505" s="1"/>
    </row>
    <row r="506" spans="2:41" x14ac:dyDescent="0.15">
      <c r="D506" s="100"/>
      <c r="E506" s="100"/>
      <c r="F506" s="96"/>
      <c r="G506" s="96"/>
      <c r="H506" s="78"/>
      <c r="I506" s="78"/>
      <c r="J506" s="78"/>
      <c r="K506" s="78"/>
      <c r="L506" s="78"/>
      <c r="M506" s="78"/>
      <c r="N506" s="78"/>
      <c r="O506" s="78"/>
      <c r="P506" s="78"/>
      <c r="Q506" s="78"/>
      <c r="R506" s="72"/>
      <c r="S506" s="72"/>
      <c r="T506" s="72"/>
      <c r="U506" s="13"/>
      <c r="V506" s="72"/>
      <c r="W506" s="46"/>
      <c r="X506" s="2"/>
      <c r="AN506" s="1"/>
      <c r="AO506" s="5"/>
    </row>
    <row r="507" spans="2:41" x14ac:dyDescent="0.15">
      <c r="D507" s="100"/>
      <c r="E507" s="100"/>
      <c r="F507" s="96"/>
      <c r="G507" s="96"/>
      <c r="H507" s="78"/>
      <c r="I507" s="78"/>
      <c r="J507" s="78"/>
      <c r="K507" s="78"/>
      <c r="L507" s="78"/>
      <c r="M507" s="78"/>
      <c r="N507" s="78"/>
      <c r="O507" s="78"/>
      <c r="P507" s="78"/>
      <c r="Q507" s="78"/>
      <c r="R507" s="72"/>
      <c r="S507" s="72"/>
      <c r="T507" s="72"/>
      <c r="U507" s="13"/>
      <c r="V507" s="72"/>
      <c r="W507" s="46"/>
      <c r="X507" s="2"/>
      <c r="AN507" s="1"/>
      <c r="AO507" s="5"/>
    </row>
    <row r="508" spans="2:41" x14ac:dyDescent="0.15">
      <c r="D508" s="100"/>
      <c r="E508" s="100"/>
      <c r="F508" s="96"/>
      <c r="G508" s="96"/>
      <c r="H508" s="78"/>
      <c r="I508" s="78"/>
      <c r="J508" s="78"/>
      <c r="K508" s="78"/>
      <c r="L508" s="78"/>
      <c r="M508" s="78"/>
      <c r="N508" s="78"/>
      <c r="O508" s="78"/>
      <c r="P508" s="78"/>
      <c r="Q508" s="78"/>
      <c r="R508" s="72"/>
      <c r="S508" s="72"/>
      <c r="T508" s="72"/>
      <c r="U508" s="13"/>
      <c r="V508" s="72"/>
      <c r="W508" s="46"/>
      <c r="X508" s="2"/>
      <c r="AN508" s="1"/>
      <c r="AO508" s="5"/>
    </row>
    <row r="509" spans="2:41" ht="14.25" thickBot="1" x14ac:dyDescent="0.2">
      <c r="B509" s="10" t="s">
        <v>156</v>
      </c>
      <c r="K509" s="52"/>
      <c r="O509" s="52"/>
    </row>
    <row r="510" spans="2:41" x14ac:dyDescent="0.15">
      <c r="D510" s="399"/>
      <c r="E510" s="386"/>
      <c r="F510" s="444" t="s">
        <v>26</v>
      </c>
      <c r="G510" s="455"/>
      <c r="H510" s="455"/>
      <c r="I510" s="456"/>
      <c r="J510" s="467" t="s">
        <v>27</v>
      </c>
      <c r="K510" s="451"/>
      <c r="L510" s="451"/>
      <c r="M510" s="452"/>
      <c r="N510" s="476" t="s">
        <v>28</v>
      </c>
      <c r="O510" s="449"/>
      <c r="P510" s="449"/>
      <c r="Q510" s="449"/>
      <c r="R510" s="1"/>
      <c r="S510" s="1"/>
      <c r="U510" s="1"/>
      <c r="Y510" s="4"/>
      <c r="AJ510" s="5"/>
      <c r="AN510" s="1"/>
    </row>
    <row r="511" spans="2:41" x14ac:dyDescent="0.15">
      <c r="D511" s="400"/>
      <c r="E511" s="443"/>
      <c r="F511" s="371"/>
      <c r="G511" s="364" t="s">
        <v>29</v>
      </c>
      <c r="H511" s="364" t="s">
        <v>30</v>
      </c>
      <c r="I511" s="374" t="s">
        <v>31</v>
      </c>
      <c r="J511" s="14"/>
      <c r="K511" s="15" t="s">
        <v>29</v>
      </c>
      <c r="L511" s="15" t="s">
        <v>30</v>
      </c>
      <c r="M511" s="375" t="s">
        <v>31</v>
      </c>
      <c r="N511" s="372"/>
      <c r="O511" s="364" t="s">
        <v>29</v>
      </c>
      <c r="P511" s="364" t="s">
        <v>30</v>
      </c>
      <c r="Q511" s="375" t="s">
        <v>31</v>
      </c>
      <c r="R511" s="1"/>
      <c r="S511" s="1"/>
      <c r="U511" s="1"/>
      <c r="Y511" s="4"/>
      <c r="AJ511" s="5"/>
      <c r="AN511" s="1"/>
    </row>
    <row r="512" spans="2:41" x14ac:dyDescent="0.15">
      <c r="D512" s="439" t="s">
        <v>140</v>
      </c>
      <c r="E512" s="440"/>
      <c r="F512" s="54">
        <f>G512+H512+I512</f>
        <v>53</v>
      </c>
      <c r="G512" s="55">
        <v>2</v>
      </c>
      <c r="H512" s="55">
        <v>14</v>
      </c>
      <c r="I512" s="56">
        <v>37</v>
      </c>
      <c r="J512" s="54">
        <f>K512+L512+M512</f>
        <v>58</v>
      </c>
      <c r="K512" s="55">
        <v>6</v>
      </c>
      <c r="L512" s="55">
        <v>19</v>
      </c>
      <c r="M512" s="55">
        <v>33</v>
      </c>
      <c r="N512" s="55">
        <f>O512+P512+Q512</f>
        <v>72</v>
      </c>
      <c r="O512" s="55">
        <v>8</v>
      </c>
      <c r="P512" s="55">
        <v>31</v>
      </c>
      <c r="Q512" s="55">
        <v>33</v>
      </c>
      <c r="R512" s="1"/>
      <c r="S512" s="1"/>
      <c r="U512" s="1"/>
      <c r="Y512" s="4"/>
      <c r="AJ512" s="5"/>
      <c r="AN512" s="1"/>
    </row>
    <row r="513" spans="2:41" x14ac:dyDescent="0.15">
      <c r="D513" s="441"/>
      <c r="E513" s="442"/>
      <c r="F513" s="58">
        <f t="shared" ref="F513:Q513" si="124">ROUND(F512/(F$512+F$514+F$516+F$518+F$520),3)</f>
        <v>8.5000000000000006E-2</v>
      </c>
      <c r="G513" s="59">
        <f t="shared" si="124"/>
        <v>0.03</v>
      </c>
      <c r="H513" s="59">
        <f t="shared" si="124"/>
        <v>0.109</v>
      </c>
      <c r="I513" s="60">
        <f t="shared" si="124"/>
        <v>8.5999999999999993E-2</v>
      </c>
      <c r="J513" s="58">
        <f t="shared" si="124"/>
        <v>8.6999999999999994E-2</v>
      </c>
      <c r="K513" s="59">
        <f t="shared" si="124"/>
        <v>9.8000000000000004E-2</v>
      </c>
      <c r="L513" s="59">
        <f t="shared" si="124"/>
        <v>0.10199999999999999</v>
      </c>
      <c r="M513" s="59">
        <f t="shared" si="124"/>
        <v>7.8E-2</v>
      </c>
      <c r="N513" s="59">
        <f t="shared" si="124"/>
        <v>0.104</v>
      </c>
      <c r="O513" s="59">
        <f t="shared" si="124"/>
        <v>0.111</v>
      </c>
      <c r="P513" s="59">
        <f t="shared" si="124"/>
        <v>0.14599999999999999</v>
      </c>
      <c r="Q513" s="59">
        <f t="shared" si="124"/>
        <v>8.1000000000000003E-2</v>
      </c>
      <c r="R513" s="1"/>
      <c r="S513" s="1"/>
      <c r="U513" s="1"/>
      <c r="Y513" s="4"/>
      <c r="AJ513" s="5"/>
      <c r="AN513" s="1"/>
    </row>
    <row r="514" spans="2:41" x14ac:dyDescent="0.15">
      <c r="D514" s="439" t="s">
        <v>157</v>
      </c>
      <c r="E514" s="440"/>
      <c r="F514" s="54">
        <f>G514+H514+I514</f>
        <v>83</v>
      </c>
      <c r="G514" s="55">
        <v>7</v>
      </c>
      <c r="H514" s="55">
        <v>19</v>
      </c>
      <c r="I514" s="56">
        <v>57</v>
      </c>
      <c r="J514" s="54">
        <f>K514+L514+M514</f>
        <v>122</v>
      </c>
      <c r="K514" s="55">
        <v>4</v>
      </c>
      <c r="L514" s="55">
        <v>33</v>
      </c>
      <c r="M514" s="55">
        <v>85</v>
      </c>
      <c r="N514" s="55">
        <f>O514+P514+Q514</f>
        <v>139</v>
      </c>
      <c r="O514" s="55">
        <v>5</v>
      </c>
      <c r="P514" s="55">
        <v>41</v>
      </c>
      <c r="Q514" s="55">
        <v>93</v>
      </c>
      <c r="R514" s="1"/>
      <c r="S514" s="1"/>
      <c r="U514" s="1"/>
      <c r="Y514" s="4"/>
      <c r="AJ514" s="5"/>
      <c r="AN514" s="1"/>
    </row>
    <row r="515" spans="2:41" x14ac:dyDescent="0.15">
      <c r="D515" s="441"/>
      <c r="E515" s="442"/>
      <c r="F515" s="58">
        <f t="shared" ref="F515:Q515" si="125">ROUND(F514/(F$512+F$514+F$516+F$518+F$520),3)</f>
        <v>0.13300000000000001</v>
      </c>
      <c r="G515" s="59">
        <f t="shared" si="125"/>
        <v>0.106</v>
      </c>
      <c r="H515" s="59">
        <f t="shared" si="125"/>
        <v>0.14799999999999999</v>
      </c>
      <c r="I515" s="60">
        <f t="shared" si="125"/>
        <v>0.13200000000000001</v>
      </c>
      <c r="J515" s="58">
        <f t="shared" si="125"/>
        <v>0.182</v>
      </c>
      <c r="K515" s="59">
        <f t="shared" si="125"/>
        <v>6.6000000000000003E-2</v>
      </c>
      <c r="L515" s="59">
        <f t="shared" si="125"/>
        <v>0.17699999999999999</v>
      </c>
      <c r="M515" s="59">
        <f t="shared" si="125"/>
        <v>0.20100000000000001</v>
      </c>
      <c r="N515" s="59">
        <f t="shared" si="125"/>
        <v>0.20100000000000001</v>
      </c>
      <c r="O515" s="59">
        <f t="shared" si="125"/>
        <v>6.9000000000000006E-2</v>
      </c>
      <c r="P515" s="59">
        <f t="shared" si="125"/>
        <v>0.193</v>
      </c>
      <c r="Q515" s="59">
        <f t="shared" si="125"/>
        <v>0.22800000000000001</v>
      </c>
      <c r="R515" s="1"/>
      <c r="S515" s="1"/>
      <c r="U515" s="1"/>
      <c r="Y515" s="4"/>
      <c r="AJ515" s="5"/>
      <c r="AN515" s="1"/>
    </row>
    <row r="516" spans="2:41" x14ac:dyDescent="0.15">
      <c r="D516" s="439" t="s">
        <v>158</v>
      </c>
      <c r="E516" s="440"/>
      <c r="F516" s="54">
        <f>G516+H516+I516</f>
        <v>380</v>
      </c>
      <c r="G516" s="55">
        <v>32</v>
      </c>
      <c r="H516" s="55">
        <v>71</v>
      </c>
      <c r="I516" s="56">
        <v>277</v>
      </c>
      <c r="J516" s="54">
        <f>K516+L516+M516</f>
        <v>374</v>
      </c>
      <c r="K516" s="55">
        <v>27</v>
      </c>
      <c r="L516" s="55">
        <v>102</v>
      </c>
      <c r="M516" s="55">
        <v>245</v>
      </c>
      <c r="N516" s="55">
        <f>O516+P516+Q516</f>
        <v>388</v>
      </c>
      <c r="O516" s="55">
        <v>40</v>
      </c>
      <c r="P516" s="55">
        <v>111</v>
      </c>
      <c r="Q516" s="55">
        <v>237</v>
      </c>
      <c r="R516" s="1"/>
      <c r="S516" s="1"/>
      <c r="U516" s="1"/>
      <c r="Y516" s="4"/>
      <c r="AJ516" s="5"/>
      <c r="AN516" s="1"/>
    </row>
    <row r="517" spans="2:41" x14ac:dyDescent="0.15">
      <c r="D517" s="441"/>
      <c r="E517" s="442"/>
      <c r="F517" s="58">
        <f t="shared" ref="F517:Q517" si="126">ROUND(F516/(F$512+F$514+F$516+F$518+F$520),3)</f>
        <v>0.60699999999999998</v>
      </c>
      <c r="G517" s="59">
        <f t="shared" si="126"/>
        <v>0.48499999999999999</v>
      </c>
      <c r="H517" s="59">
        <f t="shared" si="126"/>
        <v>0.55500000000000005</v>
      </c>
      <c r="I517" s="60">
        <f t="shared" si="126"/>
        <v>0.64100000000000001</v>
      </c>
      <c r="J517" s="58">
        <f t="shared" si="126"/>
        <v>0.55800000000000005</v>
      </c>
      <c r="K517" s="59">
        <f t="shared" si="126"/>
        <v>0.443</v>
      </c>
      <c r="L517" s="59">
        <f t="shared" si="126"/>
        <v>0.54800000000000004</v>
      </c>
      <c r="M517" s="59">
        <f t="shared" si="126"/>
        <v>0.57899999999999996</v>
      </c>
      <c r="N517" s="59">
        <f t="shared" si="126"/>
        <v>0.56100000000000005</v>
      </c>
      <c r="O517" s="59">
        <f t="shared" si="126"/>
        <v>0.55600000000000005</v>
      </c>
      <c r="P517" s="59">
        <f t="shared" si="126"/>
        <v>0.52400000000000002</v>
      </c>
      <c r="Q517" s="59">
        <f t="shared" si="126"/>
        <v>0.58099999999999996</v>
      </c>
      <c r="R517" s="1"/>
      <c r="S517" s="1"/>
      <c r="U517" s="1"/>
      <c r="Y517" s="4"/>
      <c r="AJ517" s="5"/>
      <c r="AN517" s="1"/>
    </row>
    <row r="518" spans="2:41" x14ac:dyDescent="0.15">
      <c r="D518" s="439" t="s">
        <v>159</v>
      </c>
      <c r="E518" s="440"/>
      <c r="F518" s="54">
        <f>G518+H518+I518</f>
        <v>81</v>
      </c>
      <c r="G518" s="55">
        <v>20</v>
      </c>
      <c r="H518" s="55">
        <v>18</v>
      </c>
      <c r="I518" s="56">
        <v>43</v>
      </c>
      <c r="J518" s="54">
        <f>K518+L518+M518</f>
        <v>93</v>
      </c>
      <c r="K518" s="55">
        <v>23</v>
      </c>
      <c r="L518" s="55">
        <v>26</v>
      </c>
      <c r="M518" s="55">
        <v>44</v>
      </c>
      <c r="N518" s="55">
        <f>O518+P518+Q518</f>
        <v>82</v>
      </c>
      <c r="O518" s="55">
        <v>19</v>
      </c>
      <c r="P518" s="55">
        <v>23</v>
      </c>
      <c r="Q518" s="55">
        <v>40</v>
      </c>
      <c r="R518" s="1"/>
      <c r="S518" s="1"/>
      <c r="U518" s="1"/>
      <c r="Y518" s="4"/>
      <c r="AJ518" s="5"/>
      <c r="AN518" s="1"/>
    </row>
    <row r="519" spans="2:41" x14ac:dyDescent="0.15">
      <c r="D519" s="441"/>
      <c r="E519" s="442"/>
      <c r="F519" s="58">
        <f t="shared" ref="F519:O519" si="127">ROUND(F518/(F$512+F$514+F$516+F$518+F$520),3)</f>
        <v>0.129</v>
      </c>
      <c r="G519" s="59">
        <f t="shared" si="127"/>
        <v>0.30299999999999999</v>
      </c>
      <c r="H519" s="59">
        <f t="shared" si="127"/>
        <v>0.14099999999999999</v>
      </c>
      <c r="I519" s="60">
        <f t="shared" si="127"/>
        <v>0.1</v>
      </c>
      <c r="J519" s="58">
        <f t="shared" si="127"/>
        <v>0.13900000000000001</v>
      </c>
      <c r="K519" s="59">
        <f t="shared" si="127"/>
        <v>0.377</v>
      </c>
      <c r="L519" s="59">
        <f t="shared" si="127"/>
        <v>0.14000000000000001</v>
      </c>
      <c r="M519" s="59">
        <f t="shared" si="127"/>
        <v>0.104</v>
      </c>
      <c r="N519" s="59">
        <f t="shared" si="127"/>
        <v>0.11799999999999999</v>
      </c>
      <c r="O519" s="59">
        <f t="shared" si="127"/>
        <v>0.26400000000000001</v>
      </c>
      <c r="P519" s="59">
        <f>ROUND(P518/(P$512+P$514+P$516+P$518+P$520),3)+0.001</f>
        <v>0.109</v>
      </c>
      <c r="Q519" s="59">
        <f>ROUND(Q518/(Q$512+Q$514+Q$516+Q$518+Q$520),3)</f>
        <v>9.8000000000000004E-2</v>
      </c>
      <c r="R519" s="1"/>
      <c r="S519" s="1"/>
      <c r="U519" s="1"/>
      <c r="Y519" s="4"/>
      <c r="AJ519" s="5"/>
      <c r="AN519" s="1"/>
    </row>
    <row r="520" spans="2:41" x14ac:dyDescent="0.15">
      <c r="D520" s="439" t="s">
        <v>160</v>
      </c>
      <c r="E520" s="440"/>
      <c r="F520" s="54">
        <f>G520+H520+I520</f>
        <v>29</v>
      </c>
      <c r="G520" s="55">
        <v>5</v>
      </c>
      <c r="H520" s="55">
        <v>6</v>
      </c>
      <c r="I520" s="56">
        <v>18</v>
      </c>
      <c r="J520" s="54">
        <f>K520+L520+M520</f>
        <v>23</v>
      </c>
      <c r="K520" s="55">
        <v>1</v>
      </c>
      <c r="L520" s="55">
        <v>6</v>
      </c>
      <c r="M520" s="55">
        <v>16</v>
      </c>
      <c r="N520" s="55">
        <f>O520+P520+Q520</f>
        <v>11</v>
      </c>
      <c r="O520" s="55">
        <v>0</v>
      </c>
      <c r="P520" s="55">
        <v>6</v>
      </c>
      <c r="Q520" s="55">
        <v>5</v>
      </c>
      <c r="R520" s="1"/>
      <c r="S520" s="1"/>
      <c r="U520" s="1"/>
      <c r="Y520" s="4"/>
      <c r="AJ520" s="5"/>
      <c r="AN520" s="1"/>
    </row>
    <row r="521" spans="2:41" x14ac:dyDescent="0.15">
      <c r="D521" s="441"/>
      <c r="E521" s="442"/>
      <c r="F521" s="58">
        <f t="shared" ref="F521:Q521" si="128">ROUND(F520/(F$512+F$514+F$516+F$518+F$520),3)</f>
        <v>4.5999999999999999E-2</v>
      </c>
      <c r="G521" s="59">
        <f t="shared" si="128"/>
        <v>7.5999999999999998E-2</v>
      </c>
      <c r="H521" s="59">
        <f t="shared" si="128"/>
        <v>4.7E-2</v>
      </c>
      <c r="I521" s="60">
        <f t="shared" si="128"/>
        <v>4.2000000000000003E-2</v>
      </c>
      <c r="J521" s="58">
        <f t="shared" si="128"/>
        <v>3.4000000000000002E-2</v>
      </c>
      <c r="K521" s="59">
        <f t="shared" si="128"/>
        <v>1.6E-2</v>
      </c>
      <c r="L521" s="59">
        <f t="shared" si="128"/>
        <v>3.2000000000000001E-2</v>
      </c>
      <c r="M521" s="59">
        <f t="shared" si="128"/>
        <v>3.7999999999999999E-2</v>
      </c>
      <c r="N521" s="59">
        <f t="shared" si="128"/>
        <v>1.6E-2</v>
      </c>
      <c r="O521" s="59">
        <f t="shared" si="128"/>
        <v>0</v>
      </c>
      <c r="P521" s="59">
        <f t="shared" si="128"/>
        <v>2.8000000000000001E-2</v>
      </c>
      <c r="Q521" s="59">
        <f t="shared" si="128"/>
        <v>1.2E-2</v>
      </c>
      <c r="R521" s="1"/>
      <c r="S521" s="1"/>
      <c r="U521" s="1"/>
      <c r="Y521" s="4"/>
      <c r="AJ521" s="5"/>
      <c r="AN521" s="1"/>
    </row>
    <row r="522" spans="2:41" x14ac:dyDescent="0.15">
      <c r="D522" s="449" t="s">
        <v>53</v>
      </c>
      <c r="E522" s="426"/>
      <c r="F522" s="54">
        <f t="shared" ref="F522:Q523" si="129">F512+F514+F516+F518+F520</f>
        <v>626</v>
      </c>
      <c r="G522" s="55">
        <f t="shared" si="129"/>
        <v>66</v>
      </c>
      <c r="H522" s="55">
        <f t="shared" si="129"/>
        <v>128</v>
      </c>
      <c r="I522" s="56">
        <f t="shared" si="129"/>
        <v>432</v>
      </c>
      <c r="J522" s="54">
        <f t="shared" si="129"/>
        <v>670</v>
      </c>
      <c r="K522" s="55">
        <f t="shared" si="129"/>
        <v>61</v>
      </c>
      <c r="L522" s="55">
        <f t="shared" si="129"/>
        <v>186</v>
      </c>
      <c r="M522" s="55">
        <f t="shared" si="129"/>
        <v>423</v>
      </c>
      <c r="N522" s="55">
        <f t="shared" si="129"/>
        <v>692</v>
      </c>
      <c r="O522" s="55">
        <f t="shared" si="129"/>
        <v>72</v>
      </c>
      <c r="P522" s="55">
        <f t="shared" si="129"/>
        <v>212</v>
      </c>
      <c r="Q522" s="55">
        <f t="shared" si="129"/>
        <v>408</v>
      </c>
      <c r="R522" s="1"/>
      <c r="S522" s="1"/>
      <c r="U522" s="1"/>
      <c r="Y522" s="4"/>
      <c r="AJ522" s="5"/>
      <c r="AN522" s="1"/>
    </row>
    <row r="523" spans="2:41" ht="14.25" thickBot="1" x14ac:dyDescent="0.2">
      <c r="D523" s="449"/>
      <c r="E523" s="426"/>
      <c r="F523" s="65">
        <f t="shared" si="129"/>
        <v>1</v>
      </c>
      <c r="G523" s="66">
        <f t="shared" si="129"/>
        <v>0.99999999999999989</v>
      </c>
      <c r="H523" s="66">
        <f t="shared" si="129"/>
        <v>1</v>
      </c>
      <c r="I523" s="67">
        <f t="shared" si="129"/>
        <v>1.0009999999999999</v>
      </c>
      <c r="J523" s="68">
        <f t="shared" si="129"/>
        <v>1</v>
      </c>
      <c r="K523" s="69">
        <f t="shared" si="129"/>
        <v>1</v>
      </c>
      <c r="L523" s="69">
        <f t="shared" si="129"/>
        <v>0.999</v>
      </c>
      <c r="M523" s="69">
        <f t="shared" si="129"/>
        <v>1</v>
      </c>
      <c r="N523" s="69">
        <f t="shared" si="129"/>
        <v>1</v>
      </c>
      <c r="O523" s="69">
        <f t="shared" si="129"/>
        <v>1</v>
      </c>
      <c r="P523" s="69">
        <f t="shared" si="129"/>
        <v>1</v>
      </c>
      <c r="Q523" s="69">
        <f t="shared" si="129"/>
        <v>0.99999999999999989</v>
      </c>
      <c r="R523" s="1"/>
      <c r="S523" s="1"/>
      <c r="U523" s="1"/>
      <c r="Y523" s="4"/>
      <c r="AJ523" s="5"/>
      <c r="AN523" s="1"/>
    </row>
    <row r="524" spans="2:41" x14ac:dyDescent="0.15">
      <c r="D524" s="100"/>
      <c r="E524" s="100"/>
      <c r="F524" s="100"/>
      <c r="G524" s="78"/>
      <c r="H524" s="78"/>
      <c r="I524" s="78"/>
      <c r="J524" s="78"/>
      <c r="K524" s="78"/>
      <c r="L524" s="78"/>
      <c r="M524" s="78"/>
      <c r="N524" s="78"/>
      <c r="O524" s="90"/>
      <c r="P524" s="78"/>
      <c r="Q524" s="78"/>
      <c r="R524" s="78"/>
      <c r="S524" s="78"/>
      <c r="T524" s="72"/>
      <c r="U524" s="13"/>
      <c r="V524" s="72"/>
      <c r="W524" s="46"/>
      <c r="X524" s="2"/>
      <c r="AN524" s="1"/>
      <c r="AO524" s="5"/>
    </row>
    <row r="525" spans="2:41" x14ac:dyDescent="0.15">
      <c r="D525" s="100"/>
      <c r="E525" s="100"/>
      <c r="F525" s="100"/>
      <c r="G525" s="78"/>
      <c r="H525" s="78"/>
      <c r="I525" s="78"/>
      <c r="J525" s="78"/>
      <c r="K525" s="78"/>
      <c r="L525" s="78"/>
      <c r="M525" s="78"/>
      <c r="N525" s="78"/>
      <c r="O525" s="90"/>
      <c r="P525" s="78"/>
      <c r="Q525" s="78"/>
      <c r="R525" s="78"/>
      <c r="S525" s="78"/>
      <c r="T525" s="72"/>
      <c r="U525" s="13"/>
      <c r="V525" s="72"/>
      <c r="W525" s="46"/>
      <c r="X525" s="2"/>
      <c r="AN525" s="1"/>
      <c r="AO525" s="5"/>
    </row>
    <row r="526" spans="2:41" x14ac:dyDescent="0.15">
      <c r="D526" s="100"/>
      <c r="E526" s="100"/>
      <c r="F526" s="100"/>
      <c r="G526" s="78"/>
      <c r="H526" s="78"/>
      <c r="I526" s="78"/>
      <c r="J526" s="78"/>
      <c r="K526" s="78"/>
      <c r="L526" s="78"/>
      <c r="M526" s="78"/>
      <c r="N526" s="78"/>
      <c r="O526" s="90"/>
      <c r="P526" s="78"/>
      <c r="Q526" s="78"/>
      <c r="R526" s="78"/>
      <c r="S526" s="78"/>
      <c r="T526" s="72"/>
      <c r="U526" s="13"/>
      <c r="V526" s="72"/>
      <c r="W526" s="46"/>
      <c r="X526" s="2"/>
      <c r="AN526" s="1"/>
      <c r="AO526" s="5"/>
    </row>
    <row r="527" spans="2:41" ht="14.25" thickBot="1" x14ac:dyDescent="0.2">
      <c r="B527" s="10" t="s">
        <v>161</v>
      </c>
      <c r="K527" s="52"/>
      <c r="O527" s="52"/>
    </row>
    <row r="528" spans="2:41" x14ac:dyDescent="0.15">
      <c r="D528" s="399"/>
      <c r="E528" s="386"/>
      <c r="F528" s="444" t="s">
        <v>26</v>
      </c>
      <c r="G528" s="455"/>
      <c r="H528" s="455"/>
      <c r="I528" s="456"/>
      <c r="J528" s="467" t="s">
        <v>27</v>
      </c>
      <c r="K528" s="451"/>
      <c r="L528" s="451"/>
      <c r="M528" s="452"/>
      <c r="N528" s="476" t="s">
        <v>28</v>
      </c>
      <c r="O528" s="449"/>
      <c r="P528" s="449"/>
      <c r="Q528" s="449"/>
      <c r="R528" s="1"/>
      <c r="S528" s="1"/>
      <c r="U528" s="1"/>
      <c r="Y528" s="4"/>
      <c r="AJ528" s="5"/>
      <c r="AN528" s="1"/>
    </row>
    <row r="529" spans="2:41" x14ac:dyDescent="0.15">
      <c r="D529" s="400"/>
      <c r="E529" s="443"/>
      <c r="F529" s="371"/>
      <c r="G529" s="364" t="s">
        <v>29</v>
      </c>
      <c r="H529" s="364" t="s">
        <v>30</v>
      </c>
      <c r="I529" s="374" t="s">
        <v>31</v>
      </c>
      <c r="J529" s="14"/>
      <c r="K529" s="15" t="s">
        <v>29</v>
      </c>
      <c r="L529" s="15" t="s">
        <v>30</v>
      </c>
      <c r="M529" s="375" t="s">
        <v>31</v>
      </c>
      <c r="N529" s="372"/>
      <c r="O529" s="364" t="s">
        <v>29</v>
      </c>
      <c r="P529" s="364" t="s">
        <v>30</v>
      </c>
      <c r="Q529" s="375" t="s">
        <v>31</v>
      </c>
      <c r="R529" s="1"/>
      <c r="S529" s="1"/>
      <c r="U529" s="1"/>
      <c r="Y529" s="4"/>
      <c r="AJ529" s="5"/>
      <c r="AN529" s="1"/>
    </row>
    <row r="530" spans="2:41" x14ac:dyDescent="0.15">
      <c r="D530" s="439" t="s">
        <v>162</v>
      </c>
      <c r="E530" s="440"/>
      <c r="F530" s="54">
        <f>G530+H530+I530</f>
        <v>179</v>
      </c>
      <c r="G530" s="55">
        <v>25</v>
      </c>
      <c r="H530" s="55">
        <v>32</v>
      </c>
      <c r="I530" s="56">
        <v>122</v>
      </c>
      <c r="J530" s="54">
        <f>K530+L530+M530</f>
        <v>161</v>
      </c>
      <c r="K530" s="55">
        <v>14</v>
      </c>
      <c r="L530" s="55">
        <v>45</v>
      </c>
      <c r="M530" s="55">
        <v>102</v>
      </c>
      <c r="N530" s="55">
        <f>O530+P530+Q530</f>
        <v>137</v>
      </c>
      <c r="O530" s="55">
        <v>15</v>
      </c>
      <c r="P530" s="55">
        <v>38</v>
      </c>
      <c r="Q530" s="55">
        <v>84</v>
      </c>
      <c r="R530" s="1"/>
      <c r="S530" s="1"/>
      <c r="U530" s="1"/>
      <c r="Y530" s="4"/>
      <c r="AJ530" s="5"/>
      <c r="AN530" s="1"/>
    </row>
    <row r="531" spans="2:41" x14ac:dyDescent="0.15">
      <c r="D531" s="441"/>
      <c r="E531" s="442"/>
      <c r="F531" s="58">
        <f t="shared" ref="F531:Q531" si="130">ROUND(F530/(F$530+F$532+F$534+F$536),3)</f>
        <v>0.28999999999999998</v>
      </c>
      <c r="G531" s="59">
        <f t="shared" si="130"/>
        <v>0.379</v>
      </c>
      <c r="H531" s="59">
        <f t="shared" si="130"/>
        <v>0.254</v>
      </c>
      <c r="I531" s="60">
        <f t="shared" si="130"/>
        <v>0.28599999999999998</v>
      </c>
      <c r="J531" s="58">
        <f t="shared" si="130"/>
        <v>0.24199999999999999</v>
      </c>
      <c r="K531" s="59">
        <f t="shared" si="130"/>
        <v>0.23300000000000001</v>
      </c>
      <c r="L531" s="59">
        <f t="shared" si="130"/>
        <v>0.24199999999999999</v>
      </c>
      <c r="M531" s="59">
        <f t="shared" si="130"/>
        <v>0.24299999999999999</v>
      </c>
      <c r="N531" s="59">
        <f t="shared" si="130"/>
        <v>0.19500000000000001</v>
      </c>
      <c r="O531" s="59">
        <f t="shared" si="130"/>
        <v>0.2</v>
      </c>
      <c r="P531" s="59">
        <f t="shared" si="130"/>
        <v>0.17599999999999999</v>
      </c>
      <c r="Q531" s="59">
        <f t="shared" si="130"/>
        <v>0.20399999999999999</v>
      </c>
      <c r="R531" s="1"/>
      <c r="S531" s="1"/>
      <c r="U531" s="1"/>
      <c r="Y531" s="4"/>
      <c r="AJ531" s="5"/>
      <c r="AN531" s="1"/>
    </row>
    <row r="532" spans="2:41" x14ac:dyDescent="0.15">
      <c r="D532" s="487" t="s">
        <v>163</v>
      </c>
      <c r="E532" s="440"/>
      <c r="F532" s="54">
        <f>G532+H532+I532</f>
        <v>338</v>
      </c>
      <c r="G532" s="55">
        <v>32</v>
      </c>
      <c r="H532" s="55">
        <v>61</v>
      </c>
      <c r="I532" s="56">
        <v>245</v>
      </c>
      <c r="J532" s="54">
        <f>K532+L532+M532</f>
        <v>377</v>
      </c>
      <c r="K532" s="55">
        <v>34</v>
      </c>
      <c r="L532" s="55">
        <v>98</v>
      </c>
      <c r="M532" s="55">
        <v>245</v>
      </c>
      <c r="N532" s="55">
        <f>O532+P532+Q532</f>
        <v>409</v>
      </c>
      <c r="O532" s="55">
        <v>41</v>
      </c>
      <c r="P532" s="55">
        <v>127</v>
      </c>
      <c r="Q532" s="55">
        <v>241</v>
      </c>
      <c r="R532" s="1"/>
      <c r="S532" s="1"/>
      <c r="U532" s="1"/>
      <c r="Y532" s="4"/>
      <c r="AJ532" s="5"/>
      <c r="AN532" s="1"/>
    </row>
    <row r="533" spans="2:41" x14ac:dyDescent="0.15">
      <c r="D533" s="441"/>
      <c r="E533" s="442"/>
      <c r="F533" s="58">
        <f t="shared" ref="F533:Q533" si="131">ROUND(F532/(F$530+F$532+F$534+F$536),3)</f>
        <v>0.54700000000000004</v>
      </c>
      <c r="G533" s="59">
        <f t="shared" si="131"/>
        <v>0.48499999999999999</v>
      </c>
      <c r="H533" s="59">
        <f t="shared" si="131"/>
        <v>0.48399999999999999</v>
      </c>
      <c r="I533" s="60">
        <f t="shared" si="131"/>
        <v>0.57499999999999996</v>
      </c>
      <c r="J533" s="58">
        <f t="shared" si="131"/>
        <v>0.56599999999999995</v>
      </c>
      <c r="K533" s="59">
        <f t="shared" si="131"/>
        <v>0.56699999999999995</v>
      </c>
      <c r="L533" s="59">
        <f t="shared" si="131"/>
        <v>0.52700000000000002</v>
      </c>
      <c r="M533" s="59">
        <f t="shared" si="131"/>
        <v>0.58299999999999996</v>
      </c>
      <c r="N533" s="59">
        <f t="shared" si="131"/>
        <v>0.58199999999999996</v>
      </c>
      <c r="O533" s="59">
        <f t="shared" si="131"/>
        <v>0.54700000000000004</v>
      </c>
      <c r="P533" s="59">
        <f t="shared" si="131"/>
        <v>0.58799999999999997</v>
      </c>
      <c r="Q533" s="59">
        <f t="shared" si="131"/>
        <v>0.58499999999999996</v>
      </c>
      <c r="R533" s="1"/>
      <c r="S533" s="1"/>
      <c r="U533" s="1"/>
      <c r="Y533" s="4"/>
      <c r="AJ533" s="5"/>
      <c r="AN533" s="1"/>
    </row>
    <row r="534" spans="2:41" x14ac:dyDescent="0.15">
      <c r="D534" s="487" t="s">
        <v>164</v>
      </c>
      <c r="E534" s="440"/>
      <c r="F534" s="54">
        <f>G534+H534+I534</f>
        <v>78</v>
      </c>
      <c r="G534" s="55">
        <v>7</v>
      </c>
      <c r="H534" s="55">
        <v>27</v>
      </c>
      <c r="I534" s="56">
        <v>44</v>
      </c>
      <c r="J534" s="54">
        <f>K534+L534+M534</f>
        <v>95</v>
      </c>
      <c r="K534" s="55">
        <v>7</v>
      </c>
      <c r="L534" s="55">
        <v>36</v>
      </c>
      <c r="M534" s="55">
        <v>52</v>
      </c>
      <c r="N534" s="55">
        <f>O534+P534+Q534</f>
        <v>119</v>
      </c>
      <c r="O534" s="55">
        <v>13</v>
      </c>
      <c r="P534" s="55">
        <v>39</v>
      </c>
      <c r="Q534" s="55">
        <v>67</v>
      </c>
      <c r="R534" s="1"/>
      <c r="S534" s="1"/>
      <c r="U534" s="1"/>
      <c r="Y534" s="4"/>
      <c r="AJ534" s="5"/>
      <c r="AN534" s="1"/>
    </row>
    <row r="535" spans="2:41" x14ac:dyDescent="0.15">
      <c r="D535" s="441"/>
      <c r="E535" s="442"/>
      <c r="F535" s="58">
        <f t="shared" ref="F535:O535" si="132">ROUND(F534/(F$530+F$532+F$534+F$536),3)</f>
        <v>0.126</v>
      </c>
      <c r="G535" s="59">
        <f t="shared" si="132"/>
        <v>0.106</v>
      </c>
      <c r="H535" s="59">
        <f t="shared" si="132"/>
        <v>0.214</v>
      </c>
      <c r="I535" s="60">
        <f t="shared" si="132"/>
        <v>0.10299999999999999</v>
      </c>
      <c r="J535" s="58">
        <f t="shared" si="132"/>
        <v>0.14299999999999999</v>
      </c>
      <c r="K535" s="59">
        <f t="shared" si="132"/>
        <v>0.11700000000000001</v>
      </c>
      <c r="L535" s="59">
        <f t="shared" si="132"/>
        <v>0.19400000000000001</v>
      </c>
      <c r="M535" s="59">
        <f t="shared" si="132"/>
        <v>0.124</v>
      </c>
      <c r="N535" s="59">
        <f t="shared" si="132"/>
        <v>0.16900000000000001</v>
      </c>
      <c r="O535" s="59">
        <f t="shared" si="132"/>
        <v>0.17299999999999999</v>
      </c>
      <c r="P535" s="59">
        <f>ROUND(P534/(P$530+P$532+P$534+P$536),3)-0.001</f>
        <v>0.18</v>
      </c>
      <c r="Q535" s="59">
        <f>ROUND(Q534/(Q$530+Q$532+Q$534+Q$536),3)</f>
        <v>0.16300000000000001</v>
      </c>
      <c r="R535" s="1"/>
      <c r="S535" s="1"/>
      <c r="U535" s="1"/>
      <c r="Y535" s="4"/>
      <c r="AJ535" s="5"/>
      <c r="AN535" s="1"/>
    </row>
    <row r="536" spans="2:41" x14ac:dyDescent="0.15">
      <c r="D536" s="439" t="s">
        <v>165</v>
      </c>
      <c r="E536" s="440"/>
      <c r="F536" s="54">
        <f>G536+H536+I536</f>
        <v>23</v>
      </c>
      <c r="G536" s="55">
        <v>2</v>
      </c>
      <c r="H536" s="55">
        <v>6</v>
      </c>
      <c r="I536" s="56">
        <v>15</v>
      </c>
      <c r="J536" s="54">
        <f>K536+L536+M536</f>
        <v>33</v>
      </c>
      <c r="K536" s="55">
        <v>5</v>
      </c>
      <c r="L536" s="55">
        <v>7</v>
      </c>
      <c r="M536" s="55">
        <v>21</v>
      </c>
      <c r="N536" s="55">
        <f>O536+P536+Q536</f>
        <v>38</v>
      </c>
      <c r="O536" s="55">
        <v>6</v>
      </c>
      <c r="P536" s="55">
        <v>12</v>
      </c>
      <c r="Q536" s="55">
        <v>20</v>
      </c>
      <c r="R536" s="1"/>
      <c r="S536" s="1"/>
      <c r="U536" s="1"/>
      <c r="Y536" s="4"/>
      <c r="AJ536" s="5"/>
      <c r="AN536" s="1"/>
    </row>
    <row r="537" spans="2:41" x14ac:dyDescent="0.15">
      <c r="D537" s="441"/>
      <c r="E537" s="442"/>
      <c r="F537" s="58">
        <f>ROUND(F536/(F$530+F$532+F$534+F$536),3)</f>
        <v>3.6999999999999998E-2</v>
      </c>
      <c r="G537" s="59">
        <f>ROUND(G536/(G$530+G$532+G$534+G$536),3)</f>
        <v>0.03</v>
      </c>
      <c r="H537" s="59">
        <f>ROUND(H536/(H$530+H$532+H$534+H$536),3)</f>
        <v>4.8000000000000001E-2</v>
      </c>
      <c r="I537" s="60">
        <f>ROUND(I536/(I$530+I$532+I$534+I$536),3)-0.001</f>
        <v>3.4000000000000002E-2</v>
      </c>
      <c r="J537" s="58">
        <f>ROUND(J536/(J$530+J$532+J$534+J$536),3)</f>
        <v>0.05</v>
      </c>
      <c r="K537" s="59">
        <f>ROUND(K536/(K$530+K$532+K$534+K$536),3)</f>
        <v>8.3000000000000004E-2</v>
      </c>
      <c r="L537" s="59">
        <f>ROUND(L536/(L$530+L$532+L$534+L$536),3)</f>
        <v>3.7999999999999999E-2</v>
      </c>
      <c r="M537" s="59">
        <f>ROUND(M536/(M$530+M$532+M$534+M$536),3)-0.001</f>
        <v>4.9000000000000002E-2</v>
      </c>
      <c r="N537" s="59">
        <f>ROUND(N536/(N$530+N$532+N$534+N$536),3)</f>
        <v>5.3999999999999999E-2</v>
      </c>
      <c r="O537" s="59">
        <f>ROUND(O536/(O$530+O$532+O$534+O$536),3)</f>
        <v>0.08</v>
      </c>
      <c r="P537" s="59">
        <f>ROUND(P536/(P$530+P$532+P$534+P$536),3)</f>
        <v>5.6000000000000001E-2</v>
      </c>
      <c r="Q537" s="59">
        <f>ROUND(Q536/(Q$530+Q$532+Q$534+Q$536),3)-0.001</f>
        <v>4.8000000000000001E-2</v>
      </c>
      <c r="R537" s="1"/>
      <c r="S537" s="1"/>
      <c r="U537" s="1"/>
      <c r="Y537" s="4"/>
      <c r="AJ537" s="5"/>
      <c r="AN537" s="1"/>
    </row>
    <row r="538" spans="2:41" x14ac:dyDescent="0.15">
      <c r="D538" s="449" t="s">
        <v>53</v>
      </c>
      <c r="E538" s="426"/>
      <c r="F538" s="54">
        <f t="shared" ref="F538:Q539" si="133">F530+F532+F534+F536</f>
        <v>618</v>
      </c>
      <c r="G538" s="55">
        <f t="shared" si="133"/>
        <v>66</v>
      </c>
      <c r="H538" s="55">
        <f t="shared" si="133"/>
        <v>126</v>
      </c>
      <c r="I538" s="56">
        <f t="shared" si="133"/>
        <v>426</v>
      </c>
      <c r="J538" s="54">
        <f t="shared" si="133"/>
        <v>666</v>
      </c>
      <c r="K538" s="55">
        <f t="shared" si="133"/>
        <v>60</v>
      </c>
      <c r="L538" s="55">
        <f t="shared" si="133"/>
        <v>186</v>
      </c>
      <c r="M538" s="55">
        <f t="shared" si="133"/>
        <v>420</v>
      </c>
      <c r="N538" s="55">
        <f t="shared" si="133"/>
        <v>703</v>
      </c>
      <c r="O538" s="55">
        <f t="shared" si="133"/>
        <v>75</v>
      </c>
      <c r="P538" s="55">
        <f t="shared" si="133"/>
        <v>216</v>
      </c>
      <c r="Q538" s="55">
        <f t="shared" si="133"/>
        <v>412</v>
      </c>
      <c r="R538" s="1"/>
      <c r="S538" s="1"/>
      <c r="U538" s="1"/>
      <c r="Y538" s="4"/>
      <c r="AJ538" s="5"/>
      <c r="AN538" s="1"/>
    </row>
    <row r="539" spans="2:41" ht="14.25" thickBot="1" x14ac:dyDescent="0.2">
      <c r="D539" s="449"/>
      <c r="E539" s="426"/>
      <c r="F539" s="65">
        <f t="shared" si="133"/>
        <v>1</v>
      </c>
      <c r="G539" s="66">
        <f t="shared" si="133"/>
        <v>1</v>
      </c>
      <c r="H539" s="66">
        <f t="shared" si="133"/>
        <v>1</v>
      </c>
      <c r="I539" s="67">
        <f t="shared" si="133"/>
        <v>0.998</v>
      </c>
      <c r="J539" s="68">
        <f t="shared" si="133"/>
        <v>1.0009999999999999</v>
      </c>
      <c r="K539" s="69">
        <f t="shared" si="133"/>
        <v>0.99999999999999989</v>
      </c>
      <c r="L539" s="69">
        <f t="shared" si="133"/>
        <v>1.0010000000000001</v>
      </c>
      <c r="M539" s="69">
        <f t="shared" si="133"/>
        <v>0.999</v>
      </c>
      <c r="N539" s="69">
        <f t="shared" si="133"/>
        <v>1</v>
      </c>
      <c r="O539" s="69">
        <f t="shared" si="133"/>
        <v>1.0000000000000002</v>
      </c>
      <c r="P539" s="69">
        <f t="shared" si="133"/>
        <v>1</v>
      </c>
      <c r="Q539" s="69">
        <f t="shared" si="133"/>
        <v>1</v>
      </c>
      <c r="R539" s="1"/>
      <c r="S539" s="1"/>
      <c r="U539" s="1"/>
      <c r="Y539" s="4"/>
      <c r="AJ539" s="5"/>
      <c r="AN539" s="1"/>
    </row>
    <row r="540" spans="2:41" x14ac:dyDescent="0.15">
      <c r="D540" s="100"/>
      <c r="E540" s="100"/>
      <c r="F540" s="100"/>
      <c r="G540" s="78"/>
      <c r="H540" s="78"/>
      <c r="I540" s="78"/>
      <c r="J540" s="78"/>
      <c r="K540" s="78"/>
      <c r="L540" s="78"/>
      <c r="M540" s="78"/>
      <c r="N540" s="78"/>
      <c r="O540" s="90"/>
      <c r="P540" s="78"/>
      <c r="Q540" s="78"/>
      <c r="R540" s="78"/>
      <c r="S540" s="78"/>
      <c r="T540" s="72"/>
      <c r="U540" s="13"/>
      <c r="V540" s="72"/>
      <c r="W540" s="46"/>
      <c r="X540" s="2"/>
      <c r="AN540" s="1"/>
      <c r="AO540" s="5"/>
    </row>
    <row r="541" spans="2:41" x14ac:dyDescent="0.15">
      <c r="D541" s="100"/>
      <c r="E541" s="100"/>
      <c r="F541" s="100"/>
      <c r="G541" s="78"/>
      <c r="H541" s="78"/>
      <c r="I541" s="78"/>
      <c r="J541" s="78"/>
      <c r="K541" s="78"/>
      <c r="L541" s="78"/>
      <c r="M541" s="78"/>
      <c r="N541" s="78"/>
      <c r="O541" s="90"/>
      <c r="P541" s="78"/>
      <c r="Q541" s="78"/>
      <c r="R541" s="78"/>
      <c r="S541" s="78"/>
      <c r="T541" s="72"/>
      <c r="U541" s="13"/>
      <c r="V541" s="72"/>
      <c r="W541" s="46"/>
      <c r="X541" s="2"/>
      <c r="AN541" s="1"/>
      <c r="AO541" s="5"/>
    </row>
    <row r="542" spans="2:41" x14ac:dyDescent="0.15">
      <c r="D542" s="100"/>
      <c r="E542" s="100"/>
      <c r="F542" s="100"/>
      <c r="G542" s="78"/>
      <c r="H542" s="78"/>
      <c r="I542" s="78"/>
      <c r="J542" s="78"/>
      <c r="K542" s="78"/>
      <c r="L542" s="78"/>
      <c r="M542" s="78"/>
      <c r="N542" s="78"/>
      <c r="O542" s="90"/>
      <c r="P542" s="78"/>
      <c r="Q542" s="78"/>
      <c r="R542" s="78"/>
      <c r="S542" s="78"/>
      <c r="T542" s="72"/>
      <c r="U542" s="13"/>
      <c r="V542" s="72"/>
      <c r="W542" s="46"/>
      <c r="X542" s="2"/>
      <c r="AN542" s="1"/>
      <c r="AO542" s="5"/>
    </row>
    <row r="543" spans="2:41" x14ac:dyDescent="0.15">
      <c r="B543" s="10" t="s">
        <v>166</v>
      </c>
      <c r="K543" s="52"/>
      <c r="O543" s="52"/>
    </row>
    <row r="544" spans="2:41" ht="14.25" thickBot="1" x14ac:dyDescent="0.2">
      <c r="B544" s="10"/>
      <c r="C544" s="2" t="s">
        <v>167</v>
      </c>
      <c r="K544" s="52"/>
      <c r="O544" s="52"/>
    </row>
    <row r="545" spans="2:41" x14ac:dyDescent="0.15">
      <c r="D545" s="399"/>
      <c r="E545" s="386"/>
      <c r="F545" s="444" t="s">
        <v>26</v>
      </c>
      <c r="G545" s="455"/>
      <c r="H545" s="455"/>
      <c r="I545" s="456"/>
      <c r="J545" s="467" t="s">
        <v>27</v>
      </c>
      <c r="K545" s="451"/>
      <c r="L545" s="451"/>
      <c r="M545" s="452"/>
      <c r="N545" s="476" t="s">
        <v>28</v>
      </c>
      <c r="O545" s="449"/>
      <c r="P545" s="449"/>
      <c r="Q545" s="449"/>
      <c r="R545" s="1"/>
      <c r="S545" s="1"/>
      <c r="U545" s="1"/>
      <c r="Y545" s="4"/>
      <c r="AJ545" s="5"/>
      <c r="AN545" s="1"/>
    </row>
    <row r="546" spans="2:41" x14ac:dyDescent="0.15">
      <c r="D546" s="400"/>
      <c r="E546" s="443"/>
      <c r="F546" s="371"/>
      <c r="G546" s="364" t="s">
        <v>29</v>
      </c>
      <c r="H546" s="364" t="s">
        <v>30</v>
      </c>
      <c r="I546" s="374" t="s">
        <v>31</v>
      </c>
      <c r="J546" s="14"/>
      <c r="K546" s="15" t="s">
        <v>29</v>
      </c>
      <c r="L546" s="15" t="s">
        <v>30</v>
      </c>
      <c r="M546" s="375" t="s">
        <v>31</v>
      </c>
      <c r="N546" s="372"/>
      <c r="O546" s="364" t="s">
        <v>29</v>
      </c>
      <c r="P546" s="364" t="s">
        <v>30</v>
      </c>
      <c r="Q546" s="375" t="s">
        <v>31</v>
      </c>
      <c r="R546" s="1"/>
      <c r="S546" s="1"/>
      <c r="U546" s="1"/>
      <c r="Y546" s="4"/>
      <c r="AJ546" s="5"/>
      <c r="AN546" s="1"/>
    </row>
    <row r="547" spans="2:41" x14ac:dyDescent="0.15">
      <c r="D547" s="439" t="s">
        <v>162</v>
      </c>
      <c r="E547" s="440"/>
      <c r="F547" s="54">
        <f>G547+H547+I547</f>
        <v>127</v>
      </c>
      <c r="G547" s="55">
        <v>16</v>
      </c>
      <c r="H547" s="55">
        <v>21</v>
      </c>
      <c r="I547" s="56">
        <v>90</v>
      </c>
      <c r="J547" s="54">
        <f>K547+L547+M547</f>
        <v>177</v>
      </c>
      <c r="K547" s="55">
        <v>21</v>
      </c>
      <c r="L547" s="55">
        <v>49</v>
      </c>
      <c r="M547" s="55">
        <v>107</v>
      </c>
      <c r="N547" s="55">
        <f>O547+P547+Q547</f>
        <v>120</v>
      </c>
      <c r="O547" s="55">
        <v>13</v>
      </c>
      <c r="P547" s="55">
        <v>34</v>
      </c>
      <c r="Q547" s="55">
        <v>73</v>
      </c>
      <c r="R547" s="1"/>
      <c r="S547" s="1"/>
      <c r="U547" s="1"/>
      <c r="Y547" s="4"/>
      <c r="AJ547" s="5"/>
      <c r="AN547" s="1"/>
    </row>
    <row r="548" spans="2:41" x14ac:dyDescent="0.15">
      <c r="D548" s="441"/>
      <c r="E548" s="442"/>
      <c r="F548" s="58">
        <f t="shared" ref="F548:Q548" si="134">ROUND(F547/(F$547+F$549+F$551+F$553),3)</f>
        <v>0.32200000000000001</v>
      </c>
      <c r="G548" s="59">
        <f t="shared" si="134"/>
        <v>0.39</v>
      </c>
      <c r="H548" s="59">
        <f t="shared" si="134"/>
        <v>0.33900000000000002</v>
      </c>
      <c r="I548" s="60">
        <f t="shared" si="134"/>
        <v>0.308</v>
      </c>
      <c r="J548" s="58">
        <f t="shared" si="134"/>
        <v>0.26700000000000002</v>
      </c>
      <c r="K548" s="59">
        <f t="shared" si="134"/>
        <v>0.35</v>
      </c>
      <c r="L548" s="59">
        <f t="shared" si="134"/>
        <v>0.26500000000000001</v>
      </c>
      <c r="M548" s="59">
        <f t="shared" si="134"/>
        <v>0.25700000000000001</v>
      </c>
      <c r="N548" s="59">
        <f t="shared" si="134"/>
        <v>0.17799999999999999</v>
      </c>
      <c r="O548" s="59">
        <f t="shared" si="134"/>
        <v>0.17100000000000001</v>
      </c>
      <c r="P548" s="59">
        <f t="shared" si="134"/>
        <v>0.16300000000000001</v>
      </c>
      <c r="Q548" s="59">
        <f t="shared" si="134"/>
        <v>0.187</v>
      </c>
      <c r="R548" s="1"/>
      <c r="S548" s="1"/>
      <c r="U548" s="1"/>
      <c r="Y548" s="4"/>
      <c r="AJ548" s="5"/>
      <c r="AN548" s="1"/>
    </row>
    <row r="549" spans="2:41" x14ac:dyDescent="0.15">
      <c r="D549" s="487" t="s">
        <v>163</v>
      </c>
      <c r="E549" s="440"/>
      <c r="F549" s="54">
        <f>G549+H549+I549</f>
        <v>207</v>
      </c>
      <c r="G549" s="55">
        <v>18</v>
      </c>
      <c r="H549" s="55">
        <v>31</v>
      </c>
      <c r="I549" s="56">
        <v>158</v>
      </c>
      <c r="J549" s="54">
        <f>K549+L549+M549</f>
        <v>337</v>
      </c>
      <c r="K549" s="55">
        <v>28</v>
      </c>
      <c r="L549" s="55">
        <v>94</v>
      </c>
      <c r="M549" s="55">
        <v>215</v>
      </c>
      <c r="N549" s="55">
        <f>O549+P549+Q549</f>
        <v>403</v>
      </c>
      <c r="O549" s="55">
        <v>42</v>
      </c>
      <c r="P549" s="55">
        <v>131</v>
      </c>
      <c r="Q549" s="55">
        <v>230</v>
      </c>
      <c r="R549" s="1"/>
      <c r="S549" s="1"/>
      <c r="U549" s="1"/>
      <c r="Y549" s="4"/>
      <c r="AJ549" s="5"/>
      <c r="AN549" s="1"/>
    </row>
    <row r="550" spans="2:41" x14ac:dyDescent="0.15">
      <c r="D550" s="441"/>
      <c r="E550" s="442"/>
      <c r="F550" s="58">
        <f t="shared" ref="F550:N550" si="135">ROUND(F549/(F$547+F$549+F$551+F$553),3)</f>
        <v>0.52400000000000002</v>
      </c>
      <c r="G550" s="59">
        <f t="shared" si="135"/>
        <v>0.439</v>
      </c>
      <c r="H550" s="59">
        <f t="shared" si="135"/>
        <v>0.5</v>
      </c>
      <c r="I550" s="60">
        <f t="shared" si="135"/>
        <v>0.54100000000000004</v>
      </c>
      <c r="J550" s="58">
        <f t="shared" si="135"/>
        <v>0.50900000000000001</v>
      </c>
      <c r="K550" s="59">
        <f t="shared" si="135"/>
        <v>0.46700000000000003</v>
      </c>
      <c r="L550" s="59">
        <f t="shared" si="135"/>
        <v>0.50800000000000001</v>
      </c>
      <c r="M550" s="59">
        <f t="shared" si="135"/>
        <v>0.51600000000000001</v>
      </c>
      <c r="N550" s="59">
        <f t="shared" si="135"/>
        <v>0.59699999999999998</v>
      </c>
      <c r="O550" s="59">
        <f>ROUND(O549/(O$547+O$549+O$551+O$553),3)-0.001</f>
        <v>0.55200000000000005</v>
      </c>
      <c r="P550" s="59">
        <f>ROUND(P549/(P$547+P$549+P$551+P$553),3)</f>
        <v>0.63</v>
      </c>
      <c r="Q550" s="59">
        <f>ROUND(Q549/(Q$547+Q$549+Q$551+Q$553),3)</f>
        <v>0.58799999999999997</v>
      </c>
      <c r="R550" s="1"/>
      <c r="S550" s="1"/>
      <c r="U550" s="1"/>
      <c r="Y550" s="4"/>
      <c r="AJ550" s="5"/>
      <c r="AN550" s="1"/>
    </row>
    <row r="551" spans="2:41" x14ac:dyDescent="0.15">
      <c r="D551" s="487" t="s">
        <v>164</v>
      </c>
      <c r="E551" s="440"/>
      <c r="F551" s="54">
        <f>G551+H551+I551</f>
        <v>52</v>
      </c>
      <c r="G551" s="55">
        <v>6</v>
      </c>
      <c r="H551" s="55">
        <v>9</v>
      </c>
      <c r="I551" s="56">
        <v>37</v>
      </c>
      <c r="J551" s="54">
        <f>K551+L551+M551</f>
        <v>112</v>
      </c>
      <c r="K551" s="55">
        <v>9</v>
      </c>
      <c r="L551" s="55">
        <v>32</v>
      </c>
      <c r="M551" s="55">
        <v>71</v>
      </c>
      <c r="N551" s="55">
        <f>O551+P551+Q551</f>
        <v>117</v>
      </c>
      <c r="O551" s="55">
        <v>17</v>
      </c>
      <c r="P551" s="55">
        <v>34</v>
      </c>
      <c r="Q551" s="55">
        <v>66</v>
      </c>
      <c r="R551" s="1"/>
      <c r="S551" s="1"/>
      <c r="U551" s="1"/>
      <c r="Y551" s="4"/>
      <c r="AJ551" s="5"/>
      <c r="AN551" s="1"/>
    </row>
    <row r="552" spans="2:41" x14ac:dyDescent="0.15">
      <c r="D552" s="441"/>
      <c r="E552" s="442"/>
      <c r="F552" s="58">
        <f>ROUND(F551/(F$547+F$549+F$551+F$553),3)</f>
        <v>0.13200000000000001</v>
      </c>
      <c r="G552" s="59">
        <f>ROUND(G551/(G$547+G$549+G$551+G$553),3)</f>
        <v>0.14599999999999999</v>
      </c>
      <c r="H552" s="59">
        <f>ROUND(H551/(H$547+H$549+H$551+H$553),3)+0.001</f>
        <v>0.14599999999999999</v>
      </c>
      <c r="I552" s="60">
        <f>ROUND(I551/(I$547+I$549+I$551+I$553),3)</f>
        <v>0.127</v>
      </c>
      <c r="J552" s="58">
        <f>ROUND(J551/(J$547+J$549+J$551+J$553),3)</f>
        <v>0.16900000000000001</v>
      </c>
      <c r="K552" s="59">
        <f>ROUND(K551/(K$547+K$549+K$551+K$553),3)</f>
        <v>0.15</v>
      </c>
      <c r="L552" s="59">
        <f>ROUND(L551/(L$547+L$549+L$551+L$553),3)+0.001</f>
        <v>0.17399999999999999</v>
      </c>
      <c r="M552" s="59">
        <f>ROUND(M551/(M$547+M$549+M$551+M$553),3)</f>
        <v>0.17</v>
      </c>
      <c r="N552" s="59">
        <f>ROUND(N551/(N$547+N$549+N$551+N$553),3)</f>
        <v>0.17299999999999999</v>
      </c>
      <c r="O552" s="59">
        <f>ROUND(O551/(O$547+O$549+O$551+O$553),3)</f>
        <v>0.224</v>
      </c>
      <c r="P552" s="59">
        <f>ROUND(P551/(P$547+P$549+P$551+P$553),3)+0.001</f>
        <v>0.16400000000000001</v>
      </c>
      <c r="Q552" s="59">
        <f>ROUND(Q551/(Q$547+Q$549+Q$551+Q$553),3)</f>
        <v>0.16900000000000001</v>
      </c>
      <c r="R552" s="1"/>
      <c r="S552" s="1"/>
      <c r="U552" s="1"/>
      <c r="Y552" s="4"/>
      <c r="AJ552" s="5"/>
      <c r="AN552" s="1"/>
    </row>
    <row r="553" spans="2:41" x14ac:dyDescent="0.15">
      <c r="D553" s="439" t="s">
        <v>165</v>
      </c>
      <c r="E553" s="440"/>
      <c r="F553" s="54">
        <f>G553+H553+I553</f>
        <v>9</v>
      </c>
      <c r="G553" s="55">
        <v>1</v>
      </c>
      <c r="H553" s="55">
        <v>1</v>
      </c>
      <c r="I553" s="56">
        <v>7</v>
      </c>
      <c r="J553" s="54">
        <f>K553+L553+M553</f>
        <v>36</v>
      </c>
      <c r="K553" s="55">
        <v>2</v>
      </c>
      <c r="L553" s="55">
        <v>10</v>
      </c>
      <c r="M553" s="55">
        <v>24</v>
      </c>
      <c r="N553" s="55">
        <f>O553+P553+Q553</f>
        <v>35</v>
      </c>
      <c r="O553" s="55">
        <v>4</v>
      </c>
      <c r="P553" s="55">
        <v>9</v>
      </c>
      <c r="Q553" s="55">
        <v>22</v>
      </c>
      <c r="R553" s="1"/>
      <c r="S553" s="1"/>
      <c r="U553" s="1"/>
      <c r="Y553" s="4"/>
      <c r="AJ553" s="5"/>
      <c r="AN553" s="1"/>
    </row>
    <row r="554" spans="2:41" x14ac:dyDescent="0.15">
      <c r="D554" s="441"/>
      <c r="E554" s="442"/>
      <c r="F554" s="58">
        <f t="shared" ref="F554:Q554" si="136">ROUND(F553/(F$547+F$549+F$551+F$553),3)</f>
        <v>2.3E-2</v>
      </c>
      <c r="G554" s="59">
        <f t="shared" si="136"/>
        <v>2.4E-2</v>
      </c>
      <c r="H554" s="59">
        <f t="shared" si="136"/>
        <v>1.6E-2</v>
      </c>
      <c r="I554" s="60">
        <f t="shared" si="136"/>
        <v>2.4E-2</v>
      </c>
      <c r="J554" s="58">
        <f t="shared" si="136"/>
        <v>5.3999999999999999E-2</v>
      </c>
      <c r="K554" s="59">
        <f t="shared" si="136"/>
        <v>3.3000000000000002E-2</v>
      </c>
      <c r="L554" s="59">
        <f t="shared" si="136"/>
        <v>5.3999999999999999E-2</v>
      </c>
      <c r="M554" s="59">
        <f t="shared" si="136"/>
        <v>5.8000000000000003E-2</v>
      </c>
      <c r="N554" s="59">
        <f t="shared" si="136"/>
        <v>5.1999999999999998E-2</v>
      </c>
      <c r="O554" s="59">
        <f t="shared" si="136"/>
        <v>5.2999999999999999E-2</v>
      </c>
      <c r="P554" s="59">
        <f t="shared" si="136"/>
        <v>4.2999999999999997E-2</v>
      </c>
      <c r="Q554" s="59">
        <f t="shared" si="136"/>
        <v>5.6000000000000001E-2</v>
      </c>
      <c r="R554" s="1"/>
      <c r="S554" s="1"/>
      <c r="U554" s="1"/>
      <c r="Y554" s="4"/>
      <c r="AJ554" s="5"/>
      <c r="AN554" s="1"/>
    </row>
    <row r="555" spans="2:41" x14ac:dyDescent="0.15">
      <c r="D555" s="449" t="s">
        <v>53</v>
      </c>
      <c r="E555" s="426"/>
      <c r="F555" s="54">
        <f t="shared" ref="F555:Q556" si="137">F547+F549+F551+F553</f>
        <v>395</v>
      </c>
      <c r="G555" s="55">
        <f t="shared" si="137"/>
        <v>41</v>
      </c>
      <c r="H555" s="55">
        <f t="shared" si="137"/>
        <v>62</v>
      </c>
      <c r="I555" s="56">
        <f t="shared" si="137"/>
        <v>292</v>
      </c>
      <c r="J555" s="54">
        <f t="shared" si="137"/>
        <v>662</v>
      </c>
      <c r="K555" s="55">
        <f t="shared" si="137"/>
        <v>60</v>
      </c>
      <c r="L555" s="55">
        <f t="shared" si="137"/>
        <v>185</v>
      </c>
      <c r="M555" s="55">
        <f t="shared" si="137"/>
        <v>417</v>
      </c>
      <c r="N555" s="55">
        <f t="shared" si="137"/>
        <v>675</v>
      </c>
      <c r="O555" s="55">
        <f t="shared" si="137"/>
        <v>76</v>
      </c>
      <c r="P555" s="55">
        <f t="shared" si="137"/>
        <v>208</v>
      </c>
      <c r="Q555" s="55">
        <f t="shared" si="137"/>
        <v>391</v>
      </c>
      <c r="R555" s="1"/>
      <c r="S555" s="1"/>
      <c r="U555" s="1"/>
      <c r="Y555" s="4"/>
      <c r="AJ555" s="5"/>
      <c r="AN555" s="1"/>
    </row>
    <row r="556" spans="2:41" ht="14.25" thickBot="1" x14ac:dyDescent="0.2">
      <c r="D556" s="449"/>
      <c r="E556" s="426"/>
      <c r="F556" s="65">
        <f t="shared" si="137"/>
        <v>1.0010000000000001</v>
      </c>
      <c r="G556" s="66">
        <f t="shared" si="137"/>
        <v>0.999</v>
      </c>
      <c r="H556" s="66">
        <f t="shared" si="137"/>
        <v>1.0009999999999999</v>
      </c>
      <c r="I556" s="67">
        <f t="shared" si="137"/>
        <v>1</v>
      </c>
      <c r="J556" s="68">
        <f t="shared" si="137"/>
        <v>0.99900000000000011</v>
      </c>
      <c r="K556" s="69">
        <f t="shared" si="137"/>
        <v>1</v>
      </c>
      <c r="L556" s="69">
        <f t="shared" si="137"/>
        <v>1.0010000000000001</v>
      </c>
      <c r="M556" s="69">
        <f t="shared" si="137"/>
        <v>1.0010000000000001</v>
      </c>
      <c r="N556" s="69">
        <f t="shared" si="137"/>
        <v>1</v>
      </c>
      <c r="O556" s="69">
        <f t="shared" si="137"/>
        <v>1</v>
      </c>
      <c r="P556" s="69">
        <f t="shared" si="137"/>
        <v>1</v>
      </c>
      <c r="Q556" s="69">
        <f t="shared" si="137"/>
        <v>1</v>
      </c>
      <c r="R556" s="1"/>
      <c r="S556" s="1"/>
      <c r="U556" s="1"/>
      <c r="Y556" s="4"/>
      <c r="AJ556" s="5"/>
      <c r="AN556" s="1"/>
    </row>
    <row r="557" spans="2:41" x14ac:dyDescent="0.15">
      <c r="D557" s="100"/>
      <c r="E557" s="100"/>
      <c r="F557" s="100"/>
      <c r="G557" s="78"/>
      <c r="H557" s="78"/>
      <c r="I557" s="78"/>
      <c r="J557" s="78"/>
      <c r="K557" s="78"/>
      <c r="L557" s="78"/>
      <c r="M557" s="78"/>
      <c r="N557" s="78"/>
      <c r="O557" s="90"/>
      <c r="P557" s="78"/>
      <c r="Q557" s="78"/>
      <c r="R557" s="78"/>
      <c r="S557" s="78"/>
      <c r="T557" s="72"/>
      <c r="U557" s="13"/>
      <c r="V557" s="72"/>
      <c r="W557" s="46"/>
      <c r="X557" s="2"/>
      <c r="AN557" s="1"/>
      <c r="AO557" s="5"/>
    </row>
    <row r="558" spans="2:41" x14ac:dyDescent="0.15">
      <c r="D558" s="100"/>
      <c r="E558" s="100"/>
      <c r="F558" s="100"/>
      <c r="G558" s="78"/>
      <c r="H558" s="78"/>
      <c r="I558" s="78"/>
      <c r="J558" s="78"/>
      <c r="K558" s="78"/>
      <c r="L558" s="78"/>
      <c r="M558" s="78"/>
      <c r="N558" s="78"/>
      <c r="O558" s="90"/>
      <c r="P558" s="78"/>
      <c r="Q558" s="78"/>
      <c r="R558" s="78"/>
      <c r="S558" s="78"/>
      <c r="T558" s="72"/>
      <c r="U558" s="13"/>
      <c r="V558" s="72"/>
      <c r="W558" s="46"/>
      <c r="X558" s="2"/>
      <c r="AN558" s="1"/>
      <c r="AO558" s="5"/>
    </row>
    <row r="559" spans="2:41" x14ac:dyDescent="0.15">
      <c r="D559" s="100"/>
      <c r="E559" s="100"/>
      <c r="F559" s="100"/>
      <c r="G559" s="78"/>
      <c r="H559" s="78"/>
      <c r="I559" s="78"/>
      <c r="J559" s="78"/>
      <c r="K559" s="78"/>
      <c r="L559" s="78"/>
      <c r="M559" s="78"/>
      <c r="N559" s="78"/>
      <c r="O559" s="90"/>
      <c r="P559" s="78"/>
      <c r="Q559" s="78"/>
      <c r="R559" s="78"/>
      <c r="S559" s="78"/>
      <c r="T559" s="72"/>
      <c r="U559" s="13"/>
      <c r="V559" s="72"/>
      <c r="W559" s="46"/>
      <c r="X559" s="2"/>
      <c r="AN559" s="1"/>
      <c r="AO559" s="5"/>
    </row>
    <row r="560" spans="2:41" ht="14.25" thickBot="1" x14ac:dyDescent="0.2">
      <c r="B560" s="10"/>
      <c r="C560" s="2" t="s">
        <v>168</v>
      </c>
      <c r="K560" s="52"/>
      <c r="O560" s="52"/>
    </row>
    <row r="561" spans="2:41" x14ac:dyDescent="0.15">
      <c r="D561" s="399"/>
      <c r="E561" s="386"/>
      <c r="F561" s="444" t="s">
        <v>26</v>
      </c>
      <c r="G561" s="455"/>
      <c r="H561" s="455"/>
      <c r="I561" s="456"/>
      <c r="J561" s="467" t="s">
        <v>27</v>
      </c>
      <c r="K561" s="451"/>
      <c r="L561" s="451"/>
      <c r="M561" s="452"/>
      <c r="N561" s="476" t="s">
        <v>28</v>
      </c>
      <c r="O561" s="449"/>
      <c r="P561" s="449"/>
      <c r="Q561" s="449"/>
      <c r="R561" s="1"/>
      <c r="S561" s="1"/>
      <c r="U561" s="1"/>
      <c r="Y561" s="4"/>
      <c r="AJ561" s="5"/>
      <c r="AN561" s="1"/>
    </row>
    <row r="562" spans="2:41" x14ac:dyDescent="0.15">
      <c r="D562" s="400"/>
      <c r="E562" s="443"/>
      <c r="F562" s="371"/>
      <c r="G562" s="364" t="s">
        <v>29</v>
      </c>
      <c r="H562" s="364" t="s">
        <v>30</v>
      </c>
      <c r="I562" s="374" t="s">
        <v>31</v>
      </c>
      <c r="J562" s="14"/>
      <c r="K562" s="15" t="s">
        <v>29</v>
      </c>
      <c r="L562" s="15" t="s">
        <v>30</v>
      </c>
      <c r="M562" s="375" t="s">
        <v>31</v>
      </c>
      <c r="N562" s="372"/>
      <c r="O562" s="364" t="s">
        <v>29</v>
      </c>
      <c r="P562" s="364" t="s">
        <v>30</v>
      </c>
      <c r="Q562" s="375" t="s">
        <v>31</v>
      </c>
      <c r="R562" s="1"/>
      <c r="S562" s="1"/>
      <c r="U562" s="1"/>
      <c r="Y562" s="4"/>
      <c r="AJ562" s="5"/>
      <c r="AN562" s="1"/>
    </row>
    <row r="563" spans="2:41" x14ac:dyDescent="0.15">
      <c r="D563" s="439" t="s">
        <v>162</v>
      </c>
      <c r="E563" s="440"/>
      <c r="F563" s="54">
        <f>G563+H563+I563</f>
        <v>207</v>
      </c>
      <c r="G563" s="55">
        <v>28</v>
      </c>
      <c r="H563" s="55">
        <v>39</v>
      </c>
      <c r="I563" s="56">
        <v>140</v>
      </c>
      <c r="J563" s="54">
        <f>K563+L563+M563</f>
        <v>173</v>
      </c>
      <c r="K563" s="55">
        <v>18</v>
      </c>
      <c r="L563" s="55">
        <v>47</v>
      </c>
      <c r="M563" s="55">
        <v>108</v>
      </c>
      <c r="N563" s="55">
        <f>O563+P563+Q563</f>
        <v>120</v>
      </c>
      <c r="O563" s="55">
        <v>14</v>
      </c>
      <c r="P563" s="55">
        <v>36</v>
      </c>
      <c r="Q563" s="55">
        <v>70</v>
      </c>
      <c r="R563" s="1"/>
      <c r="S563" s="1"/>
      <c r="U563" s="1"/>
      <c r="Y563" s="4"/>
      <c r="AJ563" s="5"/>
      <c r="AN563" s="1"/>
    </row>
    <row r="564" spans="2:41" x14ac:dyDescent="0.15">
      <c r="D564" s="441"/>
      <c r="E564" s="442"/>
      <c r="F564" s="58">
        <f t="shared" ref="F564:Q564" si="138">ROUND(F563/(F$563+F$565+F$567+F$569),3)</f>
        <v>0.33600000000000002</v>
      </c>
      <c r="G564" s="59">
        <f t="shared" si="138"/>
        <v>0.42399999999999999</v>
      </c>
      <c r="H564" s="59">
        <f t="shared" si="138"/>
        <v>0.312</v>
      </c>
      <c r="I564" s="60">
        <f t="shared" si="138"/>
        <v>0.32900000000000001</v>
      </c>
      <c r="J564" s="58">
        <f t="shared" si="138"/>
        <v>0.26</v>
      </c>
      <c r="K564" s="59">
        <f t="shared" si="138"/>
        <v>0.3</v>
      </c>
      <c r="L564" s="59">
        <f t="shared" si="138"/>
        <v>0.253</v>
      </c>
      <c r="M564" s="59">
        <f t="shared" si="138"/>
        <v>0.25700000000000001</v>
      </c>
      <c r="N564" s="59">
        <f t="shared" si="138"/>
        <v>0.17100000000000001</v>
      </c>
      <c r="O564" s="59">
        <f t="shared" si="138"/>
        <v>0.184</v>
      </c>
      <c r="P564" s="59">
        <f t="shared" si="138"/>
        <v>0.16800000000000001</v>
      </c>
      <c r="Q564" s="59">
        <f t="shared" si="138"/>
        <v>0.17100000000000001</v>
      </c>
      <c r="R564" s="1"/>
      <c r="S564" s="1"/>
      <c r="U564" s="1"/>
      <c r="Y564" s="4"/>
      <c r="AJ564" s="5"/>
      <c r="AN564" s="1"/>
    </row>
    <row r="565" spans="2:41" x14ac:dyDescent="0.15">
      <c r="D565" s="487" t="s">
        <v>163</v>
      </c>
      <c r="E565" s="440"/>
      <c r="F565" s="54">
        <f>G565+H565+I565</f>
        <v>316</v>
      </c>
      <c r="G565" s="55">
        <v>30</v>
      </c>
      <c r="H565" s="55">
        <v>69</v>
      </c>
      <c r="I565" s="56">
        <v>217</v>
      </c>
      <c r="J565" s="54">
        <f>K565+L565+M565</f>
        <v>342</v>
      </c>
      <c r="K565" s="55">
        <v>33</v>
      </c>
      <c r="L565" s="55">
        <v>97</v>
      </c>
      <c r="M565" s="55">
        <v>212</v>
      </c>
      <c r="N565" s="55">
        <f>O565+P565+Q565</f>
        <v>417</v>
      </c>
      <c r="O565" s="55">
        <v>42</v>
      </c>
      <c r="P565" s="55">
        <v>127</v>
      </c>
      <c r="Q565" s="55">
        <v>248</v>
      </c>
      <c r="R565" s="1"/>
      <c r="S565" s="1"/>
      <c r="U565" s="1"/>
      <c r="Y565" s="4"/>
      <c r="AJ565" s="5"/>
      <c r="AN565" s="1"/>
    </row>
    <row r="566" spans="2:41" x14ac:dyDescent="0.15">
      <c r="D566" s="441"/>
      <c r="E566" s="442"/>
      <c r="F566" s="58">
        <f t="shared" ref="F566:O566" si="139">ROUND(F565/(F$563+F$565+F$567+F$569),3)</f>
        <v>0.51300000000000001</v>
      </c>
      <c r="G566" s="59">
        <f t="shared" si="139"/>
        <v>0.45500000000000002</v>
      </c>
      <c r="H566" s="59">
        <f t="shared" si="139"/>
        <v>0.55200000000000005</v>
      </c>
      <c r="I566" s="60">
        <f t="shared" si="139"/>
        <v>0.51100000000000001</v>
      </c>
      <c r="J566" s="58">
        <f t="shared" si="139"/>
        <v>0.51400000000000001</v>
      </c>
      <c r="K566" s="59">
        <f t="shared" si="139"/>
        <v>0.55000000000000004</v>
      </c>
      <c r="L566" s="59">
        <f t="shared" si="139"/>
        <v>0.52200000000000002</v>
      </c>
      <c r="M566" s="59">
        <f t="shared" si="139"/>
        <v>0.505</v>
      </c>
      <c r="N566" s="59">
        <f t="shared" si="139"/>
        <v>0.59599999999999997</v>
      </c>
      <c r="O566" s="59">
        <f t="shared" si="139"/>
        <v>0.55300000000000005</v>
      </c>
      <c r="P566" s="59">
        <f>ROUND(P565/(P$563+P$565+P$567+P$569),3)+0.001</f>
        <v>0.59399999999999997</v>
      </c>
      <c r="Q566" s="59">
        <f>ROUND(Q565/(Q$563+Q$565+Q$567+Q$569),3)</f>
        <v>0.60499999999999998</v>
      </c>
      <c r="R566" s="1"/>
      <c r="S566" s="1"/>
      <c r="U566" s="1"/>
      <c r="Y566" s="4"/>
      <c r="AJ566" s="5"/>
      <c r="AN566" s="1"/>
    </row>
    <row r="567" spans="2:41" x14ac:dyDescent="0.15">
      <c r="D567" s="487" t="s">
        <v>164</v>
      </c>
      <c r="E567" s="440"/>
      <c r="F567" s="54">
        <f>G567+H567+I567</f>
        <v>76</v>
      </c>
      <c r="G567" s="55">
        <v>7</v>
      </c>
      <c r="H567" s="55">
        <v>15</v>
      </c>
      <c r="I567" s="56">
        <v>54</v>
      </c>
      <c r="J567" s="54">
        <f>K567+L567+M567</f>
        <v>124</v>
      </c>
      <c r="K567" s="55">
        <v>8</v>
      </c>
      <c r="L567" s="55">
        <v>34</v>
      </c>
      <c r="M567" s="55">
        <v>82</v>
      </c>
      <c r="N567" s="55">
        <f>O567+P567+Q567</f>
        <v>137</v>
      </c>
      <c r="O567" s="55">
        <v>17</v>
      </c>
      <c r="P567" s="55">
        <v>46</v>
      </c>
      <c r="Q567" s="55">
        <v>74</v>
      </c>
      <c r="R567" s="1"/>
      <c r="S567" s="1"/>
      <c r="U567" s="1"/>
      <c r="Y567" s="4"/>
      <c r="AJ567" s="5"/>
      <c r="AN567" s="1"/>
    </row>
    <row r="568" spans="2:41" x14ac:dyDescent="0.15">
      <c r="D568" s="441"/>
      <c r="E568" s="442"/>
      <c r="F568" s="58">
        <f t="shared" ref="F568:Q568" si="140">ROUND(F567/(F$563+F$565+F$567+F$569),3)</f>
        <v>0.123</v>
      </c>
      <c r="G568" s="59">
        <f t="shared" si="140"/>
        <v>0.106</v>
      </c>
      <c r="H568" s="59">
        <f t="shared" si="140"/>
        <v>0.12</v>
      </c>
      <c r="I568" s="60">
        <f t="shared" si="140"/>
        <v>0.127</v>
      </c>
      <c r="J568" s="58">
        <f t="shared" si="140"/>
        <v>0.186</v>
      </c>
      <c r="K568" s="59">
        <f t="shared" si="140"/>
        <v>0.13300000000000001</v>
      </c>
      <c r="L568" s="59">
        <f t="shared" si="140"/>
        <v>0.183</v>
      </c>
      <c r="M568" s="59">
        <f t="shared" si="140"/>
        <v>0.19500000000000001</v>
      </c>
      <c r="N568" s="59">
        <f t="shared" si="140"/>
        <v>0.19600000000000001</v>
      </c>
      <c r="O568" s="59">
        <f t="shared" si="140"/>
        <v>0.224</v>
      </c>
      <c r="P568" s="59">
        <f t="shared" si="140"/>
        <v>0.215</v>
      </c>
      <c r="Q568" s="59">
        <f t="shared" si="140"/>
        <v>0.18</v>
      </c>
      <c r="R568" s="1"/>
      <c r="S568" s="1"/>
      <c r="U568" s="1"/>
      <c r="Y568" s="4"/>
      <c r="AJ568" s="5"/>
      <c r="AN568" s="1"/>
    </row>
    <row r="569" spans="2:41" x14ac:dyDescent="0.15">
      <c r="D569" s="439" t="s">
        <v>165</v>
      </c>
      <c r="E569" s="440"/>
      <c r="F569" s="54">
        <f>G569+H569+I569</f>
        <v>17</v>
      </c>
      <c r="G569" s="55">
        <v>1</v>
      </c>
      <c r="H569" s="55">
        <v>2</v>
      </c>
      <c r="I569" s="56">
        <v>14</v>
      </c>
      <c r="J569" s="54">
        <f>K569+L569+M569</f>
        <v>27</v>
      </c>
      <c r="K569" s="55">
        <v>1</v>
      </c>
      <c r="L569" s="55">
        <v>8</v>
      </c>
      <c r="M569" s="55">
        <v>18</v>
      </c>
      <c r="N569" s="55">
        <f>O569+P569+Q569</f>
        <v>26</v>
      </c>
      <c r="O569" s="55">
        <v>3</v>
      </c>
      <c r="P569" s="55">
        <v>5</v>
      </c>
      <c r="Q569" s="55">
        <v>18</v>
      </c>
      <c r="R569" s="1"/>
      <c r="S569" s="1"/>
      <c r="U569" s="1"/>
      <c r="Y569" s="4"/>
      <c r="AJ569" s="5"/>
      <c r="AN569" s="1"/>
    </row>
    <row r="570" spans="2:41" x14ac:dyDescent="0.15">
      <c r="D570" s="441"/>
      <c r="E570" s="442"/>
      <c r="F570" s="58">
        <f t="shared" ref="F570:Q570" si="141">ROUND(F569/(F$563+F$565+F$567+F$569),3)</f>
        <v>2.8000000000000001E-2</v>
      </c>
      <c r="G570" s="59">
        <f t="shared" si="141"/>
        <v>1.4999999999999999E-2</v>
      </c>
      <c r="H570" s="59">
        <f t="shared" si="141"/>
        <v>1.6E-2</v>
      </c>
      <c r="I570" s="60">
        <f t="shared" si="141"/>
        <v>3.3000000000000002E-2</v>
      </c>
      <c r="J570" s="58">
        <f t="shared" si="141"/>
        <v>4.1000000000000002E-2</v>
      </c>
      <c r="K570" s="59">
        <f t="shared" si="141"/>
        <v>1.7000000000000001E-2</v>
      </c>
      <c r="L570" s="59">
        <f t="shared" si="141"/>
        <v>4.2999999999999997E-2</v>
      </c>
      <c r="M570" s="59">
        <f t="shared" si="141"/>
        <v>4.2999999999999997E-2</v>
      </c>
      <c r="N570" s="59">
        <f t="shared" si="141"/>
        <v>3.6999999999999998E-2</v>
      </c>
      <c r="O570" s="59">
        <f t="shared" si="141"/>
        <v>3.9E-2</v>
      </c>
      <c r="P570" s="59">
        <f t="shared" si="141"/>
        <v>2.3E-2</v>
      </c>
      <c r="Q570" s="59">
        <f t="shared" si="141"/>
        <v>4.3999999999999997E-2</v>
      </c>
      <c r="R570" s="1"/>
      <c r="S570" s="1"/>
      <c r="U570" s="1"/>
      <c r="Y570" s="4"/>
      <c r="AJ570" s="5"/>
      <c r="AN570" s="1"/>
    </row>
    <row r="571" spans="2:41" x14ac:dyDescent="0.15">
      <c r="D571" s="449" t="s">
        <v>53</v>
      </c>
      <c r="E571" s="426"/>
      <c r="F571" s="54">
        <f t="shared" ref="F571:Q572" si="142">F563+F565+F567+F569</f>
        <v>616</v>
      </c>
      <c r="G571" s="55">
        <f t="shared" si="142"/>
        <v>66</v>
      </c>
      <c r="H571" s="55">
        <f t="shared" si="142"/>
        <v>125</v>
      </c>
      <c r="I571" s="56">
        <f t="shared" si="142"/>
        <v>425</v>
      </c>
      <c r="J571" s="54">
        <f t="shared" si="142"/>
        <v>666</v>
      </c>
      <c r="K571" s="55">
        <f t="shared" si="142"/>
        <v>60</v>
      </c>
      <c r="L571" s="55">
        <f t="shared" si="142"/>
        <v>186</v>
      </c>
      <c r="M571" s="55">
        <f t="shared" si="142"/>
        <v>420</v>
      </c>
      <c r="N571" s="55">
        <f t="shared" si="142"/>
        <v>700</v>
      </c>
      <c r="O571" s="55">
        <f t="shared" si="142"/>
        <v>76</v>
      </c>
      <c r="P571" s="55">
        <f t="shared" si="142"/>
        <v>214</v>
      </c>
      <c r="Q571" s="55">
        <f t="shared" si="142"/>
        <v>410</v>
      </c>
      <c r="R571" s="1"/>
      <c r="S571" s="1"/>
      <c r="U571" s="1"/>
      <c r="Y571" s="4"/>
      <c r="AJ571" s="5"/>
      <c r="AN571" s="1"/>
    </row>
    <row r="572" spans="2:41" ht="14.25" thickBot="1" x14ac:dyDescent="0.2">
      <c r="D572" s="449"/>
      <c r="E572" s="426"/>
      <c r="F572" s="65">
        <f t="shared" si="142"/>
        <v>1</v>
      </c>
      <c r="G572" s="66">
        <f t="shared" si="142"/>
        <v>1</v>
      </c>
      <c r="H572" s="66">
        <f t="shared" si="142"/>
        <v>1</v>
      </c>
      <c r="I572" s="67">
        <f t="shared" si="142"/>
        <v>1</v>
      </c>
      <c r="J572" s="68">
        <f t="shared" si="142"/>
        <v>1.0009999999999999</v>
      </c>
      <c r="K572" s="69">
        <f t="shared" si="142"/>
        <v>1</v>
      </c>
      <c r="L572" s="69">
        <f t="shared" si="142"/>
        <v>1.0009999999999999</v>
      </c>
      <c r="M572" s="69">
        <f t="shared" si="142"/>
        <v>1</v>
      </c>
      <c r="N572" s="69">
        <f t="shared" si="142"/>
        <v>1</v>
      </c>
      <c r="O572" s="69">
        <f t="shared" si="142"/>
        <v>1</v>
      </c>
      <c r="P572" s="69">
        <f t="shared" si="142"/>
        <v>1</v>
      </c>
      <c r="Q572" s="69">
        <f t="shared" si="142"/>
        <v>1</v>
      </c>
      <c r="R572" s="1"/>
      <c r="S572" s="1"/>
      <c r="U572" s="1"/>
      <c r="Y572" s="4"/>
      <c r="AJ572" s="5"/>
      <c r="AN572" s="1"/>
    </row>
    <row r="573" spans="2:41" x14ac:dyDescent="0.15">
      <c r="D573" s="100"/>
      <c r="E573" s="100"/>
      <c r="F573" s="100"/>
      <c r="G573" s="78"/>
      <c r="H573" s="78"/>
      <c r="I573" s="78"/>
      <c r="J573" s="78"/>
      <c r="K573" s="78"/>
      <c r="L573" s="78"/>
      <c r="M573" s="78"/>
      <c r="N573" s="78"/>
      <c r="O573" s="90"/>
      <c r="P573" s="78"/>
      <c r="Q573" s="78"/>
      <c r="R573" s="78"/>
      <c r="S573" s="78"/>
      <c r="T573" s="72"/>
      <c r="U573" s="13"/>
      <c r="V573" s="72"/>
      <c r="W573" s="46"/>
      <c r="X573" s="2"/>
      <c r="AN573" s="1"/>
      <c r="AO573" s="5"/>
    </row>
    <row r="574" spans="2:41" x14ac:dyDescent="0.15">
      <c r="D574" s="100"/>
      <c r="E574" s="100"/>
      <c r="F574" s="100"/>
      <c r="G574" s="78"/>
      <c r="H574" s="78"/>
      <c r="I574" s="78"/>
      <c r="J574" s="78"/>
      <c r="K574" s="78"/>
      <c r="L574" s="78"/>
      <c r="M574" s="78"/>
      <c r="N574" s="78"/>
      <c r="O574" s="90"/>
      <c r="P574" s="78"/>
      <c r="Q574" s="78"/>
      <c r="R574" s="78"/>
      <c r="S574" s="78"/>
      <c r="T574" s="72"/>
      <c r="U574" s="13"/>
      <c r="V574" s="72"/>
      <c r="W574" s="46"/>
      <c r="X574" s="2"/>
      <c r="AN574" s="1"/>
      <c r="AO574" s="5"/>
    </row>
    <row r="575" spans="2:41" x14ac:dyDescent="0.15">
      <c r="D575" s="100"/>
      <c r="E575" s="100"/>
      <c r="F575" s="100"/>
      <c r="G575" s="78"/>
      <c r="H575" s="78"/>
      <c r="I575" s="78"/>
      <c r="J575" s="78"/>
      <c r="K575" s="78"/>
      <c r="L575" s="78"/>
      <c r="M575" s="78"/>
      <c r="N575" s="78"/>
      <c r="O575" s="90"/>
      <c r="P575" s="78"/>
      <c r="Q575" s="78"/>
      <c r="R575" s="78"/>
      <c r="S575" s="78"/>
      <c r="T575" s="72"/>
      <c r="U575" s="13"/>
      <c r="V575" s="72"/>
      <c r="W575" s="46"/>
      <c r="X575" s="2"/>
      <c r="AN575" s="1"/>
      <c r="AO575" s="5"/>
    </row>
    <row r="576" spans="2:41" ht="14.25" thickBot="1" x14ac:dyDescent="0.2">
      <c r="B576" s="10"/>
      <c r="C576" s="2" t="s">
        <v>169</v>
      </c>
      <c r="K576" s="52"/>
      <c r="O576" s="52"/>
    </row>
    <row r="577" spans="2:41" x14ac:dyDescent="0.15">
      <c r="D577" s="399"/>
      <c r="E577" s="386"/>
      <c r="F577" s="444" t="s">
        <v>26</v>
      </c>
      <c r="G577" s="455"/>
      <c r="H577" s="455"/>
      <c r="I577" s="456"/>
      <c r="J577" s="467" t="s">
        <v>27</v>
      </c>
      <c r="K577" s="451"/>
      <c r="L577" s="451"/>
      <c r="M577" s="452"/>
      <c r="N577" s="476" t="s">
        <v>28</v>
      </c>
      <c r="O577" s="449"/>
      <c r="P577" s="449"/>
      <c r="Q577" s="449"/>
      <c r="R577" s="1"/>
      <c r="S577" s="1"/>
      <c r="U577" s="1"/>
      <c r="Y577" s="4"/>
      <c r="AJ577" s="5"/>
      <c r="AN577" s="1"/>
    </row>
    <row r="578" spans="2:41" x14ac:dyDescent="0.15">
      <c r="D578" s="400"/>
      <c r="E578" s="443"/>
      <c r="F578" s="371"/>
      <c r="G578" s="364" t="s">
        <v>29</v>
      </c>
      <c r="H578" s="364" t="s">
        <v>30</v>
      </c>
      <c r="I578" s="374" t="s">
        <v>31</v>
      </c>
      <c r="J578" s="362"/>
      <c r="K578" s="363" t="s">
        <v>29</v>
      </c>
      <c r="L578" s="363" t="s">
        <v>30</v>
      </c>
      <c r="M578" s="375" t="s">
        <v>31</v>
      </c>
      <c r="N578" s="372"/>
      <c r="O578" s="364" t="s">
        <v>29</v>
      </c>
      <c r="P578" s="364" t="s">
        <v>30</v>
      </c>
      <c r="Q578" s="375" t="s">
        <v>31</v>
      </c>
      <c r="R578" s="1"/>
      <c r="S578" s="1"/>
      <c r="U578" s="1"/>
      <c r="Y578" s="4"/>
      <c r="AJ578" s="5"/>
      <c r="AN578" s="1"/>
    </row>
    <row r="579" spans="2:41" x14ac:dyDescent="0.15">
      <c r="D579" s="439" t="s">
        <v>162</v>
      </c>
      <c r="E579" s="440"/>
      <c r="F579" s="54">
        <f>G579+H579+I579</f>
        <v>176</v>
      </c>
      <c r="G579" s="55">
        <v>20</v>
      </c>
      <c r="H579" s="55">
        <v>41</v>
      </c>
      <c r="I579" s="56">
        <v>115</v>
      </c>
      <c r="J579" s="54">
        <f>K579+L579+M579</f>
        <v>176</v>
      </c>
      <c r="K579" s="55">
        <v>16</v>
      </c>
      <c r="L579" s="55">
        <v>53</v>
      </c>
      <c r="M579" s="55">
        <v>107</v>
      </c>
      <c r="N579" s="55">
        <f>O579+P579+Q579</f>
        <v>130</v>
      </c>
      <c r="O579" s="55">
        <v>11</v>
      </c>
      <c r="P579" s="55">
        <v>41</v>
      </c>
      <c r="Q579" s="55">
        <v>78</v>
      </c>
      <c r="R579" s="1"/>
      <c r="S579" s="1"/>
      <c r="U579" s="1"/>
      <c r="Y579" s="4"/>
      <c r="AJ579" s="5"/>
      <c r="AN579" s="1"/>
    </row>
    <row r="580" spans="2:41" x14ac:dyDescent="0.15">
      <c r="D580" s="441"/>
      <c r="E580" s="442"/>
      <c r="F580" s="58">
        <f t="shared" ref="F580:Q580" si="143">ROUND(F579/(F$579+F$581+F$583+F$585),3)</f>
        <v>0.28799999999999998</v>
      </c>
      <c r="G580" s="59">
        <f t="shared" si="143"/>
        <v>0.30299999999999999</v>
      </c>
      <c r="H580" s="59">
        <f t="shared" si="143"/>
        <v>0.32800000000000001</v>
      </c>
      <c r="I580" s="60">
        <f t="shared" si="143"/>
        <v>0.27300000000000002</v>
      </c>
      <c r="J580" s="58">
        <f t="shared" si="143"/>
        <v>0.26700000000000002</v>
      </c>
      <c r="K580" s="59">
        <f t="shared" si="143"/>
        <v>0.26700000000000002</v>
      </c>
      <c r="L580" s="59">
        <f t="shared" si="143"/>
        <v>0.28799999999999998</v>
      </c>
      <c r="M580" s="59">
        <f t="shared" si="143"/>
        <v>0.25800000000000001</v>
      </c>
      <c r="N580" s="59">
        <f t="shared" si="143"/>
        <v>0.188</v>
      </c>
      <c r="O580" s="59">
        <f t="shared" si="143"/>
        <v>0.14499999999999999</v>
      </c>
      <c r="P580" s="59">
        <f t="shared" si="143"/>
        <v>0.19700000000000001</v>
      </c>
      <c r="Q580" s="59">
        <f t="shared" si="143"/>
        <v>0.192</v>
      </c>
      <c r="R580" s="1"/>
      <c r="S580" s="1"/>
      <c r="U580" s="1"/>
      <c r="Y580" s="4"/>
      <c r="AJ580" s="5"/>
      <c r="AN580" s="1"/>
    </row>
    <row r="581" spans="2:41" x14ac:dyDescent="0.15">
      <c r="D581" s="487" t="s">
        <v>163</v>
      </c>
      <c r="E581" s="440"/>
      <c r="F581" s="54">
        <f>G581+H581+I581</f>
        <v>287</v>
      </c>
      <c r="G581" s="55">
        <v>33</v>
      </c>
      <c r="H581" s="55">
        <v>48</v>
      </c>
      <c r="I581" s="56">
        <v>206</v>
      </c>
      <c r="J581" s="54">
        <f>K581+L581+M581</f>
        <v>293</v>
      </c>
      <c r="K581" s="55">
        <v>22</v>
      </c>
      <c r="L581" s="55">
        <v>78</v>
      </c>
      <c r="M581" s="55">
        <v>193</v>
      </c>
      <c r="N581" s="55">
        <f>O581+P581+Q581</f>
        <v>342</v>
      </c>
      <c r="O581" s="55">
        <v>34</v>
      </c>
      <c r="P581" s="55">
        <v>99</v>
      </c>
      <c r="Q581" s="55">
        <v>209</v>
      </c>
      <c r="R581" s="1"/>
      <c r="S581" s="1"/>
      <c r="U581" s="1"/>
      <c r="Y581" s="4"/>
      <c r="AJ581" s="5"/>
      <c r="AN581" s="1"/>
    </row>
    <row r="582" spans="2:41" x14ac:dyDescent="0.15">
      <c r="D582" s="441"/>
      <c r="E582" s="442"/>
      <c r="F582" s="58">
        <f t="shared" ref="F582:P582" si="144">ROUND(F581/(F$579+F$581+F$583+F$585),3)</f>
        <v>0.46899999999999997</v>
      </c>
      <c r="G582" s="59">
        <f t="shared" si="144"/>
        <v>0.5</v>
      </c>
      <c r="H582" s="59">
        <f t="shared" si="144"/>
        <v>0.38400000000000001</v>
      </c>
      <c r="I582" s="60">
        <f t="shared" si="144"/>
        <v>0.48899999999999999</v>
      </c>
      <c r="J582" s="58">
        <f t="shared" si="144"/>
        <v>0.44500000000000001</v>
      </c>
      <c r="K582" s="59">
        <f t="shared" si="144"/>
        <v>0.36699999999999999</v>
      </c>
      <c r="L582" s="59">
        <f t="shared" si="144"/>
        <v>0.42399999999999999</v>
      </c>
      <c r="M582" s="59">
        <f t="shared" si="144"/>
        <v>0.46500000000000002</v>
      </c>
      <c r="N582" s="59">
        <f t="shared" si="144"/>
        <v>0.495</v>
      </c>
      <c r="O582" s="59">
        <f t="shared" si="144"/>
        <v>0.44700000000000001</v>
      </c>
      <c r="P582" s="59">
        <f t="shared" si="144"/>
        <v>0.47599999999999998</v>
      </c>
      <c r="Q582" s="59">
        <f>ROUND(Q581/(Q$579+Q$581+Q$583+Q$585),3)-0.001</f>
        <v>0.51300000000000001</v>
      </c>
      <c r="R582" s="1"/>
      <c r="S582" s="1"/>
      <c r="U582" s="1"/>
      <c r="Y582" s="4"/>
      <c r="AJ582" s="5"/>
      <c r="AN582" s="1"/>
    </row>
    <row r="583" spans="2:41" x14ac:dyDescent="0.15">
      <c r="D583" s="487" t="s">
        <v>164</v>
      </c>
      <c r="E583" s="440"/>
      <c r="F583" s="54">
        <f>G583+H583+I583</f>
        <v>121</v>
      </c>
      <c r="G583" s="55">
        <v>10</v>
      </c>
      <c r="H583" s="55">
        <v>30</v>
      </c>
      <c r="I583" s="56">
        <v>81</v>
      </c>
      <c r="J583" s="54">
        <f>K583+L583+M583</f>
        <v>137</v>
      </c>
      <c r="K583" s="55">
        <v>15</v>
      </c>
      <c r="L583" s="55">
        <v>35</v>
      </c>
      <c r="M583" s="55">
        <v>87</v>
      </c>
      <c r="N583" s="55">
        <f>O583+P583+Q583</f>
        <v>164</v>
      </c>
      <c r="O583" s="55">
        <v>24</v>
      </c>
      <c r="P583" s="55">
        <v>48</v>
      </c>
      <c r="Q583" s="55">
        <v>92</v>
      </c>
      <c r="R583" s="1"/>
      <c r="S583" s="1"/>
      <c r="U583" s="1"/>
      <c r="Y583" s="4"/>
      <c r="AJ583" s="5"/>
      <c r="AN583" s="1"/>
    </row>
    <row r="584" spans="2:41" x14ac:dyDescent="0.15">
      <c r="D584" s="441"/>
      <c r="E584" s="442"/>
      <c r="F584" s="58">
        <f t="shared" ref="F584:Q584" si="145">ROUND(F583/(F$579+F$581+F$583+F$585),3)</f>
        <v>0.19800000000000001</v>
      </c>
      <c r="G584" s="59">
        <f t="shared" si="145"/>
        <v>0.152</v>
      </c>
      <c r="H584" s="59">
        <f t="shared" si="145"/>
        <v>0.24</v>
      </c>
      <c r="I584" s="60">
        <f t="shared" si="145"/>
        <v>0.192</v>
      </c>
      <c r="J584" s="58">
        <f t="shared" si="145"/>
        <v>0.20799999999999999</v>
      </c>
      <c r="K584" s="59">
        <f t="shared" si="145"/>
        <v>0.25</v>
      </c>
      <c r="L584" s="59">
        <f t="shared" si="145"/>
        <v>0.19</v>
      </c>
      <c r="M584" s="59">
        <f t="shared" si="145"/>
        <v>0.21</v>
      </c>
      <c r="N584" s="59">
        <f t="shared" si="145"/>
        <v>0.23699999999999999</v>
      </c>
      <c r="O584" s="59">
        <f t="shared" si="145"/>
        <v>0.316</v>
      </c>
      <c r="P584" s="59">
        <f t="shared" si="145"/>
        <v>0.23100000000000001</v>
      </c>
      <c r="Q584" s="59">
        <f t="shared" si="145"/>
        <v>0.22600000000000001</v>
      </c>
      <c r="R584" s="1"/>
      <c r="S584" s="1"/>
      <c r="U584" s="1"/>
      <c r="Y584" s="4"/>
      <c r="AJ584" s="5"/>
      <c r="AN584" s="1"/>
    </row>
    <row r="585" spans="2:41" x14ac:dyDescent="0.15">
      <c r="D585" s="439" t="s">
        <v>165</v>
      </c>
      <c r="E585" s="440"/>
      <c r="F585" s="54">
        <f>G585+H585+I585</f>
        <v>28</v>
      </c>
      <c r="G585" s="55">
        <v>3</v>
      </c>
      <c r="H585" s="55">
        <v>6</v>
      </c>
      <c r="I585" s="56">
        <v>19</v>
      </c>
      <c r="J585" s="54">
        <f>K585+L585+M585</f>
        <v>53</v>
      </c>
      <c r="K585" s="55">
        <v>7</v>
      </c>
      <c r="L585" s="55">
        <v>18</v>
      </c>
      <c r="M585" s="55">
        <v>28</v>
      </c>
      <c r="N585" s="55">
        <f>O585+P585+Q585</f>
        <v>55</v>
      </c>
      <c r="O585" s="55">
        <v>7</v>
      </c>
      <c r="P585" s="55">
        <v>20</v>
      </c>
      <c r="Q585" s="55">
        <v>28</v>
      </c>
      <c r="R585" s="1"/>
      <c r="S585" s="1"/>
      <c r="U585" s="1"/>
      <c r="Y585" s="4"/>
      <c r="AJ585" s="5"/>
      <c r="AN585" s="1"/>
    </row>
    <row r="586" spans="2:41" x14ac:dyDescent="0.15">
      <c r="D586" s="441"/>
      <c r="E586" s="442"/>
      <c r="F586" s="58">
        <f t="shared" ref="F586:Q586" si="146">ROUND(F585/(F$579+F$581+F$583+F$585),3)</f>
        <v>4.5999999999999999E-2</v>
      </c>
      <c r="G586" s="59">
        <f t="shared" si="146"/>
        <v>4.4999999999999998E-2</v>
      </c>
      <c r="H586" s="59">
        <f t="shared" si="146"/>
        <v>4.8000000000000001E-2</v>
      </c>
      <c r="I586" s="60">
        <f t="shared" si="146"/>
        <v>4.4999999999999998E-2</v>
      </c>
      <c r="J586" s="58">
        <f t="shared" si="146"/>
        <v>0.08</v>
      </c>
      <c r="K586" s="59">
        <f t="shared" si="146"/>
        <v>0.11700000000000001</v>
      </c>
      <c r="L586" s="59">
        <f t="shared" si="146"/>
        <v>9.8000000000000004E-2</v>
      </c>
      <c r="M586" s="59">
        <f t="shared" si="146"/>
        <v>6.7000000000000004E-2</v>
      </c>
      <c r="N586" s="59">
        <f t="shared" si="146"/>
        <v>0.08</v>
      </c>
      <c r="O586" s="59">
        <f t="shared" si="146"/>
        <v>9.1999999999999998E-2</v>
      </c>
      <c r="P586" s="59">
        <f t="shared" si="146"/>
        <v>9.6000000000000002E-2</v>
      </c>
      <c r="Q586" s="59">
        <f t="shared" si="146"/>
        <v>6.9000000000000006E-2</v>
      </c>
      <c r="R586" s="1"/>
      <c r="S586" s="1"/>
      <c r="U586" s="1"/>
      <c r="Y586" s="4"/>
      <c r="AJ586" s="5"/>
      <c r="AN586" s="1"/>
    </row>
    <row r="587" spans="2:41" x14ac:dyDescent="0.15">
      <c r="D587" s="449" t="s">
        <v>53</v>
      </c>
      <c r="E587" s="426"/>
      <c r="F587" s="54">
        <f t="shared" ref="F587:Q588" si="147">F579+F581+F583+F585</f>
        <v>612</v>
      </c>
      <c r="G587" s="55">
        <f t="shared" si="147"/>
        <v>66</v>
      </c>
      <c r="H587" s="55">
        <f t="shared" si="147"/>
        <v>125</v>
      </c>
      <c r="I587" s="56">
        <f t="shared" si="147"/>
        <v>421</v>
      </c>
      <c r="J587" s="54">
        <f t="shared" si="147"/>
        <v>659</v>
      </c>
      <c r="K587" s="55">
        <f t="shared" si="147"/>
        <v>60</v>
      </c>
      <c r="L587" s="55">
        <f t="shared" si="147"/>
        <v>184</v>
      </c>
      <c r="M587" s="55">
        <f t="shared" si="147"/>
        <v>415</v>
      </c>
      <c r="N587" s="55">
        <f t="shared" si="147"/>
        <v>691</v>
      </c>
      <c r="O587" s="55">
        <f t="shared" si="147"/>
        <v>76</v>
      </c>
      <c r="P587" s="55">
        <f t="shared" si="147"/>
        <v>208</v>
      </c>
      <c r="Q587" s="55">
        <f t="shared" si="147"/>
        <v>407</v>
      </c>
      <c r="R587" s="1"/>
      <c r="S587" s="1"/>
      <c r="U587" s="1"/>
      <c r="Y587" s="4"/>
      <c r="AJ587" s="5"/>
      <c r="AN587" s="1"/>
    </row>
    <row r="588" spans="2:41" ht="14.25" thickBot="1" x14ac:dyDescent="0.2">
      <c r="D588" s="449"/>
      <c r="E588" s="426"/>
      <c r="F588" s="65">
        <f t="shared" si="147"/>
        <v>1.0009999999999999</v>
      </c>
      <c r="G588" s="66">
        <f t="shared" si="147"/>
        <v>1</v>
      </c>
      <c r="H588" s="66">
        <f t="shared" si="147"/>
        <v>1</v>
      </c>
      <c r="I588" s="67">
        <f t="shared" si="147"/>
        <v>0.999</v>
      </c>
      <c r="J588" s="68">
        <f t="shared" si="147"/>
        <v>0.99999999999999989</v>
      </c>
      <c r="K588" s="69">
        <f t="shared" si="147"/>
        <v>1.0010000000000001</v>
      </c>
      <c r="L588" s="69">
        <f t="shared" si="147"/>
        <v>0.99999999999999989</v>
      </c>
      <c r="M588" s="69">
        <f t="shared" si="147"/>
        <v>1</v>
      </c>
      <c r="N588" s="69">
        <f t="shared" si="147"/>
        <v>1</v>
      </c>
      <c r="O588" s="69">
        <f t="shared" si="147"/>
        <v>0.99999999999999989</v>
      </c>
      <c r="P588" s="69">
        <f t="shared" si="147"/>
        <v>1</v>
      </c>
      <c r="Q588" s="69">
        <f t="shared" si="147"/>
        <v>1</v>
      </c>
      <c r="R588" s="1"/>
      <c r="S588" s="1"/>
      <c r="U588" s="1"/>
      <c r="Y588" s="4"/>
      <c r="AJ588" s="5"/>
      <c r="AN588" s="1"/>
    </row>
    <row r="589" spans="2:41" x14ac:dyDescent="0.15">
      <c r="D589" s="100"/>
      <c r="E589" s="100"/>
      <c r="F589" s="100"/>
      <c r="G589" s="78"/>
      <c r="H589" s="78"/>
      <c r="I589" s="78"/>
      <c r="J589" s="78"/>
      <c r="K589" s="78"/>
      <c r="L589" s="78"/>
      <c r="M589" s="78"/>
      <c r="N589" s="78"/>
      <c r="O589" s="90"/>
      <c r="P589" s="78"/>
      <c r="Q589" s="78"/>
      <c r="R589" s="78"/>
      <c r="S589" s="78"/>
      <c r="T589" s="72"/>
      <c r="U589" s="13"/>
      <c r="V589" s="72"/>
      <c r="W589" s="46"/>
      <c r="X589" s="2"/>
      <c r="AN589" s="1"/>
      <c r="AO589" s="5"/>
    </row>
    <row r="590" spans="2:41" x14ac:dyDescent="0.15">
      <c r="D590" s="100"/>
      <c r="E590" s="100"/>
      <c r="F590" s="100"/>
      <c r="G590" s="78"/>
      <c r="H590" s="78"/>
      <c r="I590" s="78"/>
      <c r="J590" s="78"/>
      <c r="K590" s="78"/>
      <c r="L590" s="78"/>
      <c r="M590" s="78"/>
      <c r="N590" s="78"/>
      <c r="O590" s="90"/>
      <c r="P590" s="78"/>
      <c r="Q590" s="78"/>
      <c r="R590" s="78"/>
      <c r="S590" s="78"/>
      <c r="T590" s="72"/>
      <c r="U590" s="13"/>
      <c r="V590" s="72"/>
      <c r="W590" s="46"/>
      <c r="X590" s="2"/>
      <c r="AN590" s="1"/>
      <c r="AO590" s="5"/>
    </row>
    <row r="591" spans="2:41" x14ac:dyDescent="0.15">
      <c r="D591" s="100"/>
      <c r="E591" s="100"/>
      <c r="F591" s="100"/>
      <c r="G591" s="78"/>
      <c r="H591" s="78"/>
      <c r="I591" s="78"/>
      <c r="J591" s="78"/>
      <c r="K591" s="78"/>
      <c r="L591" s="78"/>
      <c r="M591" s="78"/>
      <c r="N591" s="78"/>
      <c r="O591" s="90"/>
      <c r="P591" s="78"/>
      <c r="Q591" s="78"/>
      <c r="R591" s="78"/>
      <c r="S591" s="78"/>
      <c r="T591" s="72"/>
      <c r="U591" s="13"/>
      <c r="V591" s="72"/>
      <c r="W591" s="46"/>
      <c r="X591" s="2"/>
      <c r="AN591" s="1"/>
      <c r="AO591" s="5"/>
    </row>
    <row r="592" spans="2:41" ht="14.25" thickBot="1" x14ac:dyDescent="0.2">
      <c r="B592" s="10"/>
      <c r="C592" s="2" t="s">
        <v>170</v>
      </c>
      <c r="K592" s="52"/>
      <c r="O592" s="52"/>
    </row>
    <row r="593" spans="2:41" x14ac:dyDescent="0.15">
      <c r="D593" s="399"/>
      <c r="E593" s="386"/>
      <c r="F593" s="444" t="s">
        <v>26</v>
      </c>
      <c r="G593" s="455"/>
      <c r="H593" s="455"/>
      <c r="I593" s="456"/>
      <c r="J593" s="467" t="s">
        <v>27</v>
      </c>
      <c r="K593" s="451"/>
      <c r="L593" s="451"/>
      <c r="M593" s="452"/>
      <c r="N593" s="476" t="s">
        <v>28</v>
      </c>
      <c r="O593" s="449"/>
      <c r="P593" s="449"/>
      <c r="Q593" s="449"/>
      <c r="R593" s="1"/>
      <c r="S593" s="1"/>
      <c r="U593" s="1"/>
      <c r="Y593" s="4"/>
      <c r="AJ593" s="5"/>
      <c r="AN593" s="1"/>
    </row>
    <row r="594" spans="2:41" x14ac:dyDescent="0.15">
      <c r="D594" s="400"/>
      <c r="E594" s="443"/>
      <c r="F594" s="371"/>
      <c r="G594" s="364" t="s">
        <v>29</v>
      </c>
      <c r="H594" s="364" t="s">
        <v>30</v>
      </c>
      <c r="I594" s="374" t="s">
        <v>31</v>
      </c>
      <c r="J594" s="14"/>
      <c r="K594" s="15" t="s">
        <v>29</v>
      </c>
      <c r="L594" s="15" t="s">
        <v>30</v>
      </c>
      <c r="M594" s="375" t="s">
        <v>31</v>
      </c>
      <c r="N594" s="372"/>
      <c r="O594" s="364" t="s">
        <v>29</v>
      </c>
      <c r="P594" s="364" t="s">
        <v>30</v>
      </c>
      <c r="Q594" s="375" t="s">
        <v>31</v>
      </c>
      <c r="R594" s="1"/>
      <c r="S594" s="1"/>
      <c r="U594" s="1"/>
      <c r="Y594" s="4"/>
      <c r="AJ594" s="5"/>
      <c r="AN594" s="1"/>
    </row>
    <row r="595" spans="2:41" x14ac:dyDescent="0.15">
      <c r="D595" s="439" t="s">
        <v>162</v>
      </c>
      <c r="E595" s="440"/>
      <c r="F595" s="54">
        <f>G595+H595+I595</f>
        <v>185</v>
      </c>
      <c r="G595" s="55">
        <v>24</v>
      </c>
      <c r="H595" s="55">
        <v>38</v>
      </c>
      <c r="I595" s="56">
        <v>123</v>
      </c>
      <c r="J595" s="54">
        <f>K595+L595+M595</f>
        <v>185</v>
      </c>
      <c r="K595" s="55">
        <v>21</v>
      </c>
      <c r="L595" s="55">
        <v>54</v>
      </c>
      <c r="M595" s="55">
        <v>110</v>
      </c>
      <c r="N595" s="55">
        <f>O595+P595+Q595</f>
        <v>146</v>
      </c>
      <c r="O595" s="55">
        <v>18</v>
      </c>
      <c r="P595" s="55">
        <v>45</v>
      </c>
      <c r="Q595" s="55">
        <v>83</v>
      </c>
      <c r="R595" s="1"/>
      <c r="S595" s="1"/>
      <c r="U595" s="1"/>
      <c r="Y595" s="4"/>
      <c r="AJ595" s="5"/>
      <c r="AN595" s="1"/>
    </row>
    <row r="596" spans="2:41" x14ac:dyDescent="0.15">
      <c r="D596" s="441"/>
      <c r="E596" s="442"/>
      <c r="F596" s="58">
        <f>ROUND(F595/(F$595+F$597+F$599+F$601),3)</f>
        <v>0.30199999999999999</v>
      </c>
      <c r="G596" s="59">
        <f>ROUND(G595/(G$595+G$597+G$599+G$601),3)</f>
        <v>0.36399999999999999</v>
      </c>
      <c r="H596" s="59">
        <f>ROUND(H595/(H$595+H$597+H$599+H$601),3)</f>
        <v>0.30199999999999999</v>
      </c>
      <c r="I596" s="60">
        <f>ROUND(I595/(I$595+I$597+I$599+I$601),3)+0.001</f>
        <v>0.29299999999999998</v>
      </c>
      <c r="J596" s="58">
        <f>ROUND(J595/(J$595+J$597+J$599+J$601),3)</f>
        <v>0.27900000000000003</v>
      </c>
      <c r="K596" s="59">
        <f>ROUND(K595/(K$595+K$597+K$599+K$601),3)</f>
        <v>0.35</v>
      </c>
      <c r="L596" s="59">
        <f>ROUND(L595/(L$595+L$597+L$599+L$601),3)</f>
        <v>0.28999999999999998</v>
      </c>
      <c r="M596" s="59">
        <f>ROUND(M595/(M$595+M$597+M$599+M$601),3)+0.001</f>
        <v>0.26400000000000001</v>
      </c>
      <c r="N596" s="59">
        <f>ROUND(N595/(N$595+N$597+N$599+N$601),3)</f>
        <v>0.21</v>
      </c>
      <c r="O596" s="59">
        <f>ROUND(O595/(O$595+O$597+O$599+O$601),3)</f>
        <v>0.23699999999999999</v>
      </c>
      <c r="P596" s="59">
        <f>ROUND(P595/(P$595+P$597+P$599+P$601),3)</f>
        <v>0.21199999999999999</v>
      </c>
      <c r="Q596" s="59">
        <f>ROUND(Q595/(Q$595+Q$597+Q$599+Q$601),3)+0.001</f>
        <v>0.20400000000000001</v>
      </c>
      <c r="R596" s="1"/>
      <c r="S596" s="1"/>
      <c r="U596" s="1"/>
      <c r="Y596" s="4"/>
      <c r="AJ596" s="5"/>
      <c r="AN596" s="1"/>
    </row>
    <row r="597" spans="2:41" x14ac:dyDescent="0.15">
      <c r="D597" s="487" t="s">
        <v>163</v>
      </c>
      <c r="E597" s="440"/>
      <c r="F597" s="54">
        <f>G597+H597+I597</f>
        <v>286</v>
      </c>
      <c r="G597" s="55">
        <v>33</v>
      </c>
      <c r="H597" s="55">
        <v>51</v>
      </c>
      <c r="I597" s="56">
        <v>202</v>
      </c>
      <c r="J597" s="54">
        <f>K597+L597+M597</f>
        <v>295</v>
      </c>
      <c r="K597" s="55">
        <v>24</v>
      </c>
      <c r="L597" s="55">
        <v>75</v>
      </c>
      <c r="M597" s="55">
        <v>196</v>
      </c>
      <c r="N597" s="55">
        <f>O597+P597+Q597</f>
        <v>329</v>
      </c>
      <c r="O597" s="55">
        <v>39</v>
      </c>
      <c r="P597" s="55">
        <v>92</v>
      </c>
      <c r="Q597" s="55">
        <v>198</v>
      </c>
      <c r="R597" s="1"/>
      <c r="S597" s="1"/>
      <c r="U597" s="1"/>
      <c r="Y597" s="4"/>
      <c r="AJ597" s="5"/>
      <c r="AN597" s="1"/>
    </row>
    <row r="598" spans="2:41" x14ac:dyDescent="0.15">
      <c r="D598" s="441"/>
      <c r="E598" s="442"/>
      <c r="F598" s="58">
        <f t="shared" ref="F598:Q598" si="148">ROUND(F597/(F$595+F$597+F$599+F$601),3)</f>
        <v>0.46700000000000003</v>
      </c>
      <c r="G598" s="59">
        <f t="shared" si="148"/>
        <v>0.5</v>
      </c>
      <c r="H598" s="59">
        <f t="shared" si="148"/>
        <v>0.40500000000000003</v>
      </c>
      <c r="I598" s="60">
        <f t="shared" si="148"/>
        <v>0.48</v>
      </c>
      <c r="J598" s="58">
        <f t="shared" si="148"/>
        <v>0.44400000000000001</v>
      </c>
      <c r="K598" s="59">
        <f t="shared" si="148"/>
        <v>0.4</v>
      </c>
      <c r="L598" s="59">
        <f t="shared" si="148"/>
        <v>0.40300000000000002</v>
      </c>
      <c r="M598" s="59">
        <f t="shared" si="148"/>
        <v>0.46899999999999997</v>
      </c>
      <c r="N598" s="59">
        <f t="shared" si="148"/>
        <v>0.47299999999999998</v>
      </c>
      <c r="O598" s="59">
        <f t="shared" si="148"/>
        <v>0.51300000000000001</v>
      </c>
      <c r="P598" s="59">
        <f t="shared" si="148"/>
        <v>0.434</v>
      </c>
      <c r="Q598" s="59">
        <f t="shared" si="148"/>
        <v>0.48499999999999999</v>
      </c>
      <c r="R598" s="1"/>
      <c r="S598" s="1"/>
      <c r="U598" s="1"/>
      <c r="Y598" s="4"/>
      <c r="AJ598" s="5"/>
      <c r="AN598" s="1"/>
    </row>
    <row r="599" spans="2:41" x14ac:dyDescent="0.15">
      <c r="D599" s="487" t="s">
        <v>164</v>
      </c>
      <c r="E599" s="440"/>
      <c r="F599" s="54">
        <f>G599+H599+I599</f>
        <v>113</v>
      </c>
      <c r="G599" s="55">
        <v>6</v>
      </c>
      <c r="H599" s="55">
        <v>30</v>
      </c>
      <c r="I599" s="56">
        <v>77</v>
      </c>
      <c r="J599" s="54">
        <f>K599+L599+M599</f>
        <v>127</v>
      </c>
      <c r="K599" s="55">
        <v>11</v>
      </c>
      <c r="L599" s="55">
        <v>38</v>
      </c>
      <c r="M599" s="55">
        <v>78</v>
      </c>
      <c r="N599" s="55">
        <f>O599+P599+Q599</f>
        <v>156</v>
      </c>
      <c r="O599" s="55">
        <v>14</v>
      </c>
      <c r="P599" s="55">
        <v>51</v>
      </c>
      <c r="Q599" s="55">
        <v>91</v>
      </c>
      <c r="R599" s="1"/>
      <c r="S599" s="1"/>
      <c r="U599" s="1"/>
      <c r="Y599" s="4"/>
      <c r="AJ599" s="5"/>
      <c r="AN599" s="1"/>
    </row>
    <row r="600" spans="2:41" x14ac:dyDescent="0.15">
      <c r="D600" s="441"/>
      <c r="E600" s="442"/>
      <c r="F600" s="58">
        <f t="shared" ref="F600:Q600" si="149">ROUND(F599/(F$595+F$597+F$599+F$601),3)</f>
        <v>0.184</v>
      </c>
      <c r="G600" s="59">
        <f t="shared" si="149"/>
        <v>9.0999999999999998E-2</v>
      </c>
      <c r="H600" s="59">
        <f t="shared" si="149"/>
        <v>0.23799999999999999</v>
      </c>
      <c r="I600" s="60">
        <f t="shared" si="149"/>
        <v>0.183</v>
      </c>
      <c r="J600" s="58">
        <f t="shared" si="149"/>
        <v>0.191</v>
      </c>
      <c r="K600" s="59">
        <f t="shared" si="149"/>
        <v>0.183</v>
      </c>
      <c r="L600" s="59">
        <f t="shared" si="149"/>
        <v>0.20399999999999999</v>
      </c>
      <c r="M600" s="59">
        <f t="shared" si="149"/>
        <v>0.187</v>
      </c>
      <c r="N600" s="59">
        <f t="shared" si="149"/>
        <v>0.224</v>
      </c>
      <c r="O600" s="59">
        <f t="shared" si="149"/>
        <v>0.184</v>
      </c>
      <c r="P600" s="59">
        <f t="shared" si="149"/>
        <v>0.24099999999999999</v>
      </c>
      <c r="Q600" s="59">
        <f t="shared" si="149"/>
        <v>0.223</v>
      </c>
      <c r="R600" s="1"/>
      <c r="S600" s="1"/>
      <c r="U600" s="1"/>
      <c r="Y600" s="4"/>
      <c r="AJ600" s="5"/>
      <c r="AN600" s="1"/>
    </row>
    <row r="601" spans="2:41" x14ac:dyDescent="0.15">
      <c r="D601" s="439" t="s">
        <v>165</v>
      </c>
      <c r="E601" s="440"/>
      <c r="F601" s="54">
        <f>G601+H601+I601</f>
        <v>29</v>
      </c>
      <c r="G601" s="55">
        <v>3</v>
      </c>
      <c r="H601" s="55">
        <v>7</v>
      </c>
      <c r="I601" s="56">
        <v>19</v>
      </c>
      <c r="J601" s="54">
        <f>K601+L601+M601</f>
        <v>57</v>
      </c>
      <c r="K601" s="55">
        <v>4</v>
      </c>
      <c r="L601" s="55">
        <v>19</v>
      </c>
      <c r="M601" s="55">
        <v>34</v>
      </c>
      <c r="N601" s="55">
        <f>O601+P601+Q601</f>
        <v>65</v>
      </c>
      <c r="O601" s="55">
        <v>5</v>
      </c>
      <c r="P601" s="55">
        <v>24</v>
      </c>
      <c r="Q601" s="55">
        <v>36</v>
      </c>
      <c r="R601" s="1"/>
      <c r="S601" s="1"/>
      <c r="U601" s="1"/>
      <c r="Y601" s="4"/>
      <c r="AJ601" s="5"/>
      <c r="AN601" s="1"/>
    </row>
    <row r="602" spans="2:41" x14ac:dyDescent="0.15">
      <c r="D602" s="441"/>
      <c r="E602" s="442"/>
      <c r="F602" s="58">
        <f t="shared" ref="F602:Q602" si="150">ROUND(F601/(F$595+F$597+F$599+F$601),3)</f>
        <v>4.7E-2</v>
      </c>
      <c r="G602" s="59">
        <f t="shared" si="150"/>
        <v>4.4999999999999998E-2</v>
      </c>
      <c r="H602" s="59">
        <f t="shared" si="150"/>
        <v>5.6000000000000001E-2</v>
      </c>
      <c r="I602" s="60">
        <f t="shared" si="150"/>
        <v>4.4999999999999998E-2</v>
      </c>
      <c r="J602" s="58">
        <f t="shared" si="150"/>
        <v>8.5999999999999993E-2</v>
      </c>
      <c r="K602" s="59">
        <f t="shared" si="150"/>
        <v>6.7000000000000004E-2</v>
      </c>
      <c r="L602" s="59">
        <f t="shared" si="150"/>
        <v>0.10199999999999999</v>
      </c>
      <c r="M602" s="59">
        <f t="shared" si="150"/>
        <v>8.1000000000000003E-2</v>
      </c>
      <c r="N602" s="59">
        <f t="shared" si="150"/>
        <v>9.2999999999999999E-2</v>
      </c>
      <c r="O602" s="59">
        <f t="shared" si="150"/>
        <v>6.6000000000000003E-2</v>
      </c>
      <c r="P602" s="59">
        <f t="shared" si="150"/>
        <v>0.113</v>
      </c>
      <c r="Q602" s="59">
        <f t="shared" si="150"/>
        <v>8.7999999999999995E-2</v>
      </c>
      <c r="R602" s="1"/>
      <c r="S602" s="1"/>
      <c r="U602" s="1"/>
      <c r="Y602" s="4"/>
      <c r="AJ602" s="5"/>
      <c r="AN602" s="1"/>
    </row>
    <row r="603" spans="2:41" x14ac:dyDescent="0.15">
      <c r="D603" s="449" t="s">
        <v>53</v>
      </c>
      <c r="E603" s="426"/>
      <c r="F603" s="54">
        <f t="shared" ref="F603:Q604" si="151">F595+F597+F599+F601</f>
        <v>613</v>
      </c>
      <c r="G603" s="55">
        <f t="shared" si="151"/>
        <v>66</v>
      </c>
      <c r="H603" s="55">
        <f t="shared" si="151"/>
        <v>126</v>
      </c>
      <c r="I603" s="56">
        <f t="shared" si="151"/>
        <v>421</v>
      </c>
      <c r="J603" s="54">
        <f t="shared" si="151"/>
        <v>664</v>
      </c>
      <c r="K603" s="55">
        <f t="shared" si="151"/>
        <v>60</v>
      </c>
      <c r="L603" s="55">
        <f t="shared" si="151"/>
        <v>186</v>
      </c>
      <c r="M603" s="55">
        <f t="shared" si="151"/>
        <v>418</v>
      </c>
      <c r="N603" s="55">
        <f t="shared" si="151"/>
        <v>696</v>
      </c>
      <c r="O603" s="55">
        <f t="shared" si="151"/>
        <v>76</v>
      </c>
      <c r="P603" s="55">
        <f t="shared" si="151"/>
        <v>212</v>
      </c>
      <c r="Q603" s="55">
        <f t="shared" si="151"/>
        <v>408</v>
      </c>
      <c r="R603" s="1"/>
      <c r="S603" s="1"/>
      <c r="U603" s="1"/>
      <c r="Y603" s="4"/>
      <c r="AJ603" s="5"/>
      <c r="AN603" s="1"/>
    </row>
    <row r="604" spans="2:41" ht="14.25" thickBot="1" x14ac:dyDescent="0.2">
      <c r="D604" s="449"/>
      <c r="E604" s="426"/>
      <c r="F604" s="65">
        <f t="shared" si="151"/>
        <v>1</v>
      </c>
      <c r="G604" s="66">
        <f t="shared" si="151"/>
        <v>1</v>
      </c>
      <c r="H604" s="66">
        <f t="shared" si="151"/>
        <v>1.0010000000000001</v>
      </c>
      <c r="I604" s="67">
        <f t="shared" si="151"/>
        <v>1.0009999999999999</v>
      </c>
      <c r="J604" s="68">
        <f t="shared" si="151"/>
        <v>1.0000000000000002</v>
      </c>
      <c r="K604" s="69">
        <f t="shared" si="151"/>
        <v>1</v>
      </c>
      <c r="L604" s="69">
        <f t="shared" si="151"/>
        <v>0.999</v>
      </c>
      <c r="M604" s="69">
        <f t="shared" si="151"/>
        <v>1.0009999999999999</v>
      </c>
      <c r="N604" s="69">
        <f t="shared" si="151"/>
        <v>0.99999999999999989</v>
      </c>
      <c r="O604" s="69">
        <f t="shared" si="151"/>
        <v>1</v>
      </c>
      <c r="P604" s="69">
        <f t="shared" si="151"/>
        <v>1</v>
      </c>
      <c r="Q604" s="69">
        <f t="shared" si="151"/>
        <v>1</v>
      </c>
      <c r="R604" s="1"/>
      <c r="S604" s="1"/>
      <c r="U604" s="1"/>
      <c r="Y604" s="4"/>
      <c r="AJ604" s="5"/>
      <c r="AN604" s="1"/>
    </row>
    <row r="605" spans="2:41" x14ac:dyDescent="0.15">
      <c r="D605" s="100"/>
      <c r="E605" s="100"/>
      <c r="F605" s="78"/>
      <c r="G605" s="78"/>
      <c r="H605" s="78"/>
      <c r="I605" s="78"/>
      <c r="J605" s="72"/>
      <c r="K605" s="46"/>
      <c r="N605" s="1"/>
      <c r="O605" s="1"/>
      <c r="P605" s="1"/>
      <c r="Q605" s="1"/>
      <c r="R605" s="1"/>
      <c r="S605" s="1"/>
      <c r="AF605" s="5"/>
      <c r="AN605" s="1"/>
    </row>
    <row r="606" spans="2:41" x14ac:dyDescent="0.15">
      <c r="D606" s="100"/>
      <c r="E606" s="100"/>
      <c r="F606" s="100"/>
      <c r="G606" s="78"/>
      <c r="H606" s="78"/>
      <c r="I606" s="78"/>
      <c r="J606" s="78"/>
      <c r="K606" s="78"/>
      <c r="L606" s="78"/>
      <c r="M606" s="78"/>
      <c r="N606" s="78"/>
      <c r="O606" s="90"/>
      <c r="P606" s="78"/>
      <c r="Q606" s="78"/>
      <c r="R606" s="78"/>
      <c r="S606" s="78"/>
      <c r="T606" s="72"/>
      <c r="U606" s="13"/>
      <c r="V606" s="72"/>
      <c r="W606" s="46"/>
      <c r="X606" s="2"/>
      <c r="AN606" s="1"/>
      <c r="AO606" s="5"/>
    </row>
    <row r="607" spans="2:41" x14ac:dyDescent="0.15">
      <c r="D607" s="100"/>
      <c r="E607" s="100"/>
      <c r="F607" s="100"/>
      <c r="G607" s="78"/>
      <c r="H607" s="78"/>
      <c r="I607" s="78"/>
      <c r="J607" s="78"/>
      <c r="K607" s="78"/>
      <c r="L607" s="78"/>
      <c r="M607" s="78"/>
      <c r="N607" s="78"/>
      <c r="O607" s="90"/>
      <c r="P607" s="78"/>
      <c r="Q607" s="78"/>
      <c r="R607" s="78"/>
      <c r="S607" s="78"/>
      <c r="T607" s="72"/>
      <c r="U607" s="13"/>
      <c r="V607" s="72"/>
      <c r="W607" s="46"/>
      <c r="X607" s="2"/>
      <c r="AN607" s="1"/>
      <c r="AO607" s="5"/>
    </row>
    <row r="608" spans="2:41" ht="14.25" thickBot="1" x14ac:dyDescent="0.2">
      <c r="B608" s="10"/>
      <c r="C608" s="2" t="s">
        <v>171</v>
      </c>
      <c r="K608" s="52"/>
      <c r="O608" s="52"/>
    </row>
    <row r="609" spans="2:41" x14ac:dyDescent="0.15">
      <c r="D609" s="399"/>
      <c r="E609" s="386"/>
      <c r="F609" s="444" t="s">
        <v>26</v>
      </c>
      <c r="G609" s="455"/>
      <c r="H609" s="455"/>
      <c r="I609" s="456"/>
      <c r="J609" s="467" t="s">
        <v>27</v>
      </c>
      <c r="K609" s="451"/>
      <c r="L609" s="451"/>
      <c r="M609" s="452"/>
      <c r="N609" s="476" t="s">
        <v>28</v>
      </c>
      <c r="O609" s="449"/>
      <c r="P609" s="449"/>
      <c r="Q609" s="449"/>
      <c r="R609" s="1"/>
      <c r="S609" s="1"/>
      <c r="U609" s="1"/>
      <c r="Y609" s="4"/>
      <c r="AJ609" s="5"/>
      <c r="AN609" s="1"/>
    </row>
    <row r="610" spans="2:41" x14ac:dyDescent="0.15">
      <c r="D610" s="400"/>
      <c r="E610" s="443"/>
      <c r="F610" s="371"/>
      <c r="G610" s="364" t="s">
        <v>29</v>
      </c>
      <c r="H610" s="364" t="s">
        <v>30</v>
      </c>
      <c r="I610" s="374" t="s">
        <v>31</v>
      </c>
      <c r="J610" s="14"/>
      <c r="K610" s="15" t="s">
        <v>29</v>
      </c>
      <c r="L610" s="15" t="s">
        <v>30</v>
      </c>
      <c r="M610" s="375" t="s">
        <v>31</v>
      </c>
      <c r="N610" s="372"/>
      <c r="O610" s="364" t="s">
        <v>29</v>
      </c>
      <c r="P610" s="364" t="s">
        <v>30</v>
      </c>
      <c r="Q610" s="375" t="s">
        <v>31</v>
      </c>
      <c r="R610" s="1"/>
      <c r="S610" s="1"/>
      <c r="U610" s="1"/>
      <c r="Y610" s="4"/>
      <c r="AJ610" s="5"/>
      <c r="AN610" s="1"/>
    </row>
    <row r="611" spans="2:41" x14ac:dyDescent="0.15">
      <c r="D611" s="439" t="s">
        <v>162</v>
      </c>
      <c r="E611" s="440"/>
      <c r="F611" s="54">
        <f>G611+H611+I611</f>
        <v>212</v>
      </c>
      <c r="G611" s="55">
        <v>19</v>
      </c>
      <c r="H611" s="55">
        <v>41</v>
      </c>
      <c r="I611" s="56">
        <v>152</v>
      </c>
      <c r="J611" s="54">
        <f>K611+L611+M611</f>
        <v>229</v>
      </c>
      <c r="K611" s="55">
        <v>23</v>
      </c>
      <c r="L611" s="55">
        <v>69</v>
      </c>
      <c r="M611" s="55">
        <v>137</v>
      </c>
      <c r="N611" s="55">
        <f>O611+P611+Q611</f>
        <v>181</v>
      </c>
      <c r="O611" s="55">
        <v>14</v>
      </c>
      <c r="P611" s="55">
        <v>53</v>
      </c>
      <c r="Q611" s="55">
        <v>114</v>
      </c>
      <c r="R611" s="1"/>
      <c r="S611" s="1"/>
      <c r="U611" s="1"/>
      <c r="Y611" s="4"/>
      <c r="AJ611" s="5"/>
      <c r="AN611" s="1"/>
    </row>
    <row r="612" spans="2:41" x14ac:dyDescent="0.15">
      <c r="D612" s="441"/>
      <c r="E612" s="442"/>
      <c r="F612" s="58">
        <f t="shared" ref="F612:Q612" si="152">ROUND(F611/(F$611+F$613+F$615+F$617),3)</f>
        <v>0.34499999999999997</v>
      </c>
      <c r="G612" s="59">
        <f t="shared" si="152"/>
        <v>0.28799999999999998</v>
      </c>
      <c r="H612" s="59">
        <f t="shared" si="152"/>
        <v>0.33100000000000002</v>
      </c>
      <c r="I612" s="60">
        <f t="shared" si="152"/>
        <v>0.35799999999999998</v>
      </c>
      <c r="J612" s="58">
        <f t="shared" si="152"/>
        <v>0.34499999999999997</v>
      </c>
      <c r="K612" s="59">
        <f t="shared" si="152"/>
        <v>0.39</v>
      </c>
      <c r="L612" s="59">
        <f t="shared" si="152"/>
        <v>0.371</v>
      </c>
      <c r="M612" s="59">
        <f t="shared" si="152"/>
        <v>0.32700000000000001</v>
      </c>
      <c r="N612" s="59">
        <f t="shared" si="152"/>
        <v>0.25900000000000001</v>
      </c>
      <c r="O612" s="59">
        <f t="shared" si="152"/>
        <v>0.184</v>
      </c>
      <c r="P612" s="59">
        <f t="shared" si="152"/>
        <v>0.247</v>
      </c>
      <c r="Q612" s="59">
        <f t="shared" si="152"/>
        <v>0.27900000000000003</v>
      </c>
      <c r="R612" s="1"/>
      <c r="S612" s="1"/>
      <c r="U612" s="1"/>
      <c r="Y612" s="4"/>
      <c r="AJ612" s="5"/>
      <c r="AN612" s="1"/>
    </row>
    <row r="613" spans="2:41" x14ac:dyDescent="0.15">
      <c r="D613" s="487" t="s">
        <v>163</v>
      </c>
      <c r="E613" s="440"/>
      <c r="F613" s="54">
        <f>G613+H613+I613</f>
        <v>323</v>
      </c>
      <c r="G613" s="55">
        <v>38</v>
      </c>
      <c r="H613" s="55">
        <v>65</v>
      </c>
      <c r="I613" s="56">
        <v>220</v>
      </c>
      <c r="J613" s="54">
        <f>K613+L613+M613</f>
        <v>339</v>
      </c>
      <c r="K613" s="55">
        <v>27</v>
      </c>
      <c r="L613" s="55">
        <v>91</v>
      </c>
      <c r="M613" s="55">
        <v>221</v>
      </c>
      <c r="N613" s="55">
        <f>O613+P613+Q613</f>
        <v>398</v>
      </c>
      <c r="O613" s="55">
        <v>43</v>
      </c>
      <c r="P613" s="55">
        <v>126</v>
      </c>
      <c r="Q613" s="55">
        <v>229</v>
      </c>
      <c r="R613" s="1"/>
      <c r="S613" s="1"/>
      <c r="U613" s="1"/>
      <c r="Y613" s="4"/>
      <c r="AJ613" s="5"/>
      <c r="AN613" s="1"/>
    </row>
    <row r="614" spans="2:41" x14ac:dyDescent="0.15">
      <c r="D614" s="441"/>
      <c r="E614" s="442"/>
      <c r="F614" s="58">
        <f t="shared" ref="F614:M614" si="153">ROUND(F613/(F$611+F$613+F$615+F$617),3)</f>
        <v>0.52500000000000002</v>
      </c>
      <c r="G614" s="59">
        <f t="shared" si="153"/>
        <v>0.57599999999999996</v>
      </c>
      <c r="H614" s="59">
        <f t="shared" si="153"/>
        <v>0.52400000000000002</v>
      </c>
      <c r="I614" s="60">
        <f t="shared" si="153"/>
        <v>0.51800000000000002</v>
      </c>
      <c r="J614" s="58">
        <f t="shared" si="153"/>
        <v>0.51100000000000001</v>
      </c>
      <c r="K614" s="59">
        <f t="shared" si="153"/>
        <v>0.45800000000000002</v>
      </c>
      <c r="L614" s="59">
        <f t="shared" si="153"/>
        <v>0.48899999999999999</v>
      </c>
      <c r="M614" s="59">
        <f t="shared" si="153"/>
        <v>0.52700000000000002</v>
      </c>
      <c r="N614" s="59">
        <f>ROUND(N613/(N$611+N$613+N$615+N$617),3)+0.001</f>
        <v>0.56999999999999995</v>
      </c>
      <c r="O614" s="59">
        <f>ROUND(O613/(O$611+O$613+O$615+O$617),3)</f>
        <v>0.56599999999999995</v>
      </c>
      <c r="P614" s="59">
        <f>ROUND(P613/(P$611+P$613+P$615+P$617),3)</f>
        <v>0.58599999999999997</v>
      </c>
      <c r="Q614" s="59">
        <f>ROUND(Q613/(Q$611+Q$613+Q$615+Q$617),3)</f>
        <v>0.56100000000000005</v>
      </c>
      <c r="R614" s="1"/>
      <c r="S614" s="1"/>
      <c r="U614" s="1"/>
      <c r="Y614" s="4"/>
      <c r="AJ614" s="5"/>
      <c r="AN614" s="1"/>
    </row>
    <row r="615" spans="2:41" x14ac:dyDescent="0.15">
      <c r="D615" s="487" t="s">
        <v>164</v>
      </c>
      <c r="E615" s="440"/>
      <c r="F615" s="54">
        <f>G615+H615+I615</f>
        <v>68</v>
      </c>
      <c r="G615" s="55">
        <v>7</v>
      </c>
      <c r="H615" s="55">
        <v>15</v>
      </c>
      <c r="I615" s="56">
        <v>46</v>
      </c>
      <c r="J615" s="54">
        <f>K615+L615+M615</f>
        <v>64</v>
      </c>
      <c r="K615" s="55">
        <v>5</v>
      </c>
      <c r="L615" s="55">
        <v>17</v>
      </c>
      <c r="M615" s="55">
        <v>42</v>
      </c>
      <c r="N615" s="55">
        <f>O615+P615+Q615</f>
        <v>96</v>
      </c>
      <c r="O615" s="55">
        <v>13</v>
      </c>
      <c r="P615" s="55">
        <v>33</v>
      </c>
      <c r="Q615" s="55">
        <v>50</v>
      </c>
      <c r="R615" s="1"/>
      <c r="S615" s="1"/>
      <c r="U615" s="1"/>
      <c r="Y615" s="4"/>
      <c r="AJ615" s="5"/>
      <c r="AN615" s="1"/>
    </row>
    <row r="616" spans="2:41" x14ac:dyDescent="0.15">
      <c r="D616" s="441"/>
      <c r="E616" s="442"/>
      <c r="F616" s="58">
        <f t="shared" ref="F616:Q616" si="154">ROUND(F615/(F$611+F$613+F$615+F$617),3)</f>
        <v>0.111</v>
      </c>
      <c r="G616" s="59">
        <f t="shared" si="154"/>
        <v>0.106</v>
      </c>
      <c r="H616" s="59">
        <f t="shared" si="154"/>
        <v>0.121</v>
      </c>
      <c r="I616" s="60">
        <f t="shared" si="154"/>
        <v>0.108</v>
      </c>
      <c r="J616" s="58">
        <f t="shared" si="154"/>
        <v>9.6000000000000002E-2</v>
      </c>
      <c r="K616" s="59">
        <f t="shared" si="154"/>
        <v>8.5000000000000006E-2</v>
      </c>
      <c r="L616" s="59">
        <f t="shared" si="154"/>
        <v>9.0999999999999998E-2</v>
      </c>
      <c r="M616" s="59">
        <f t="shared" si="154"/>
        <v>0.1</v>
      </c>
      <c r="N616" s="59">
        <f t="shared" si="154"/>
        <v>0.13700000000000001</v>
      </c>
      <c r="O616" s="59">
        <f t="shared" si="154"/>
        <v>0.17100000000000001</v>
      </c>
      <c r="P616" s="59">
        <f t="shared" si="154"/>
        <v>0.153</v>
      </c>
      <c r="Q616" s="59">
        <f t="shared" si="154"/>
        <v>0.123</v>
      </c>
      <c r="R616" s="1"/>
      <c r="S616" s="1"/>
      <c r="U616" s="1"/>
      <c r="Y616" s="4"/>
      <c r="AJ616" s="5"/>
      <c r="AN616" s="1"/>
    </row>
    <row r="617" spans="2:41" x14ac:dyDescent="0.15">
      <c r="D617" s="439" t="s">
        <v>165</v>
      </c>
      <c r="E617" s="440"/>
      <c r="F617" s="54">
        <f>G617+H617+I617</f>
        <v>12</v>
      </c>
      <c r="G617" s="55">
        <v>2</v>
      </c>
      <c r="H617" s="55">
        <v>3</v>
      </c>
      <c r="I617" s="56">
        <v>7</v>
      </c>
      <c r="J617" s="54">
        <f>K617+L617+M617</f>
        <v>32</v>
      </c>
      <c r="K617" s="55">
        <v>4</v>
      </c>
      <c r="L617" s="55">
        <v>9</v>
      </c>
      <c r="M617" s="55">
        <v>19</v>
      </c>
      <c r="N617" s="55">
        <f>O617+P617+Q617</f>
        <v>24</v>
      </c>
      <c r="O617" s="55">
        <v>6</v>
      </c>
      <c r="P617" s="55">
        <v>3</v>
      </c>
      <c r="Q617" s="55">
        <v>15</v>
      </c>
      <c r="R617" s="1"/>
      <c r="S617" s="1"/>
      <c r="U617" s="1"/>
      <c r="Y617" s="4"/>
      <c r="AJ617" s="5"/>
      <c r="AN617" s="1"/>
    </row>
    <row r="618" spans="2:41" x14ac:dyDescent="0.15">
      <c r="D618" s="441"/>
      <c r="E618" s="442"/>
      <c r="F618" s="58">
        <f t="shared" ref="F618:Q618" si="155">ROUND(F617/(F$611+F$613+F$615+F$617),3)</f>
        <v>0.02</v>
      </c>
      <c r="G618" s="59">
        <f t="shared" si="155"/>
        <v>0.03</v>
      </c>
      <c r="H618" s="59">
        <f t="shared" si="155"/>
        <v>2.4E-2</v>
      </c>
      <c r="I618" s="60">
        <f t="shared" si="155"/>
        <v>1.6E-2</v>
      </c>
      <c r="J618" s="58">
        <f t="shared" si="155"/>
        <v>4.8000000000000001E-2</v>
      </c>
      <c r="K618" s="59">
        <f t="shared" si="155"/>
        <v>6.8000000000000005E-2</v>
      </c>
      <c r="L618" s="59">
        <f t="shared" si="155"/>
        <v>4.8000000000000001E-2</v>
      </c>
      <c r="M618" s="59">
        <f t="shared" si="155"/>
        <v>4.4999999999999998E-2</v>
      </c>
      <c r="N618" s="59">
        <f t="shared" si="155"/>
        <v>3.4000000000000002E-2</v>
      </c>
      <c r="O618" s="59">
        <f t="shared" si="155"/>
        <v>7.9000000000000001E-2</v>
      </c>
      <c r="P618" s="59">
        <f t="shared" si="155"/>
        <v>1.4E-2</v>
      </c>
      <c r="Q618" s="59">
        <f t="shared" si="155"/>
        <v>3.6999999999999998E-2</v>
      </c>
      <c r="R618" s="1"/>
      <c r="S618" s="1"/>
      <c r="U618" s="1"/>
      <c r="Y618" s="4"/>
      <c r="AJ618" s="5"/>
      <c r="AN618" s="1"/>
    </row>
    <row r="619" spans="2:41" x14ac:dyDescent="0.15">
      <c r="D619" s="449" t="s">
        <v>53</v>
      </c>
      <c r="E619" s="426"/>
      <c r="F619" s="54">
        <f t="shared" ref="F619:Q620" si="156">F611+F613+F615+F617</f>
        <v>615</v>
      </c>
      <c r="G619" s="55">
        <f t="shared" si="156"/>
        <v>66</v>
      </c>
      <c r="H619" s="55">
        <f t="shared" si="156"/>
        <v>124</v>
      </c>
      <c r="I619" s="56">
        <f t="shared" si="156"/>
        <v>425</v>
      </c>
      <c r="J619" s="54">
        <f t="shared" si="156"/>
        <v>664</v>
      </c>
      <c r="K619" s="55">
        <f t="shared" si="156"/>
        <v>59</v>
      </c>
      <c r="L619" s="55">
        <f t="shared" si="156"/>
        <v>186</v>
      </c>
      <c r="M619" s="55">
        <f t="shared" si="156"/>
        <v>419</v>
      </c>
      <c r="N619" s="55">
        <f t="shared" si="156"/>
        <v>699</v>
      </c>
      <c r="O619" s="55">
        <f t="shared" si="156"/>
        <v>76</v>
      </c>
      <c r="P619" s="55">
        <f t="shared" si="156"/>
        <v>215</v>
      </c>
      <c r="Q619" s="55">
        <f t="shared" si="156"/>
        <v>408</v>
      </c>
      <c r="R619" s="1"/>
      <c r="S619" s="1"/>
      <c r="U619" s="1"/>
      <c r="Y619" s="4"/>
      <c r="AJ619" s="5"/>
      <c r="AN619" s="1"/>
    </row>
    <row r="620" spans="2:41" ht="14.25" thickBot="1" x14ac:dyDescent="0.2">
      <c r="D620" s="449"/>
      <c r="E620" s="426"/>
      <c r="F620" s="65">
        <f t="shared" si="156"/>
        <v>1.0009999999999999</v>
      </c>
      <c r="G620" s="66">
        <f t="shared" si="156"/>
        <v>0.99999999999999989</v>
      </c>
      <c r="H620" s="66">
        <f t="shared" si="156"/>
        <v>1</v>
      </c>
      <c r="I620" s="67">
        <f t="shared" si="156"/>
        <v>1</v>
      </c>
      <c r="J620" s="68">
        <f t="shared" si="156"/>
        <v>1</v>
      </c>
      <c r="K620" s="69">
        <f t="shared" si="156"/>
        <v>1.0010000000000001</v>
      </c>
      <c r="L620" s="69">
        <f t="shared" si="156"/>
        <v>0.999</v>
      </c>
      <c r="M620" s="69">
        <f t="shared" si="156"/>
        <v>0.99900000000000011</v>
      </c>
      <c r="N620" s="69">
        <f t="shared" si="156"/>
        <v>1</v>
      </c>
      <c r="O620" s="69">
        <f t="shared" si="156"/>
        <v>1</v>
      </c>
      <c r="P620" s="69">
        <f t="shared" si="156"/>
        <v>1</v>
      </c>
      <c r="Q620" s="69">
        <f t="shared" si="156"/>
        <v>1</v>
      </c>
      <c r="R620" s="1"/>
      <c r="S620" s="1"/>
      <c r="U620" s="1"/>
      <c r="Y620" s="4"/>
      <c r="AJ620" s="5"/>
      <c r="AN620" s="1"/>
    </row>
    <row r="621" spans="2:41" x14ac:dyDescent="0.15">
      <c r="D621" s="100"/>
      <c r="E621" s="100"/>
      <c r="F621" s="78"/>
      <c r="G621" s="78"/>
      <c r="H621" s="78"/>
      <c r="I621" s="78"/>
      <c r="J621" s="72"/>
      <c r="K621" s="46"/>
      <c r="N621" s="1"/>
      <c r="O621" s="1"/>
      <c r="P621" s="1"/>
      <c r="Q621" s="1"/>
      <c r="R621" s="1"/>
      <c r="S621" s="1"/>
      <c r="AF621" s="5"/>
      <c r="AN621" s="1"/>
    </row>
    <row r="622" spans="2:41" x14ac:dyDescent="0.15">
      <c r="D622" s="100"/>
      <c r="E622" s="100"/>
      <c r="F622" s="100"/>
      <c r="G622" s="78"/>
      <c r="H622" s="78"/>
      <c r="I622" s="78"/>
      <c r="J622" s="78"/>
      <c r="K622" s="78"/>
      <c r="L622" s="78"/>
      <c r="M622" s="78"/>
      <c r="N622" s="78"/>
      <c r="O622" s="90"/>
      <c r="P622" s="78"/>
      <c r="Q622" s="78"/>
      <c r="R622" s="78"/>
      <c r="S622" s="78"/>
      <c r="T622" s="72"/>
      <c r="U622" s="13"/>
      <c r="V622" s="72"/>
      <c r="W622" s="46"/>
      <c r="X622" s="2"/>
      <c r="AN622" s="1"/>
      <c r="AO622" s="5"/>
    </row>
    <row r="623" spans="2:41" x14ac:dyDescent="0.15">
      <c r="D623" s="100"/>
      <c r="E623" s="100"/>
      <c r="F623" s="100"/>
      <c r="G623" s="78"/>
      <c r="H623" s="78"/>
      <c r="I623" s="78"/>
      <c r="J623" s="78"/>
      <c r="K623" s="78"/>
      <c r="L623" s="78"/>
      <c r="M623" s="78"/>
      <c r="N623" s="78"/>
      <c r="O623" s="90"/>
      <c r="P623" s="78"/>
      <c r="Q623" s="78"/>
      <c r="R623" s="78"/>
      <c r="S623" s="78"/>
      <c r="T623" s="72"/>
      <c r="U623" s="13"/>
      <c r="V623" s="72"/>
      <c r="W623" s="46"/>
      <c r="X623" s="2"/>
      <c r="AN623" s="1"/>
      <c r="AO623" s="5"/>
    </row>
    <row r="624" spans="2:41" ht="14.25" thickBot="1" x14ac:dyDescent="0.2">
      <c r="B624" s="10"/>
      <c r="C624" s="2" t="s">
        <v>172</v>
      </c>
      <c r="K624" s="52"/>
      <c r="O624" s="52"/>
    </row>
    <row r="625" spans="2:41" x14ac:dyDescent="0.15">
      <c r="D625" s="399"/>
      <c r="E625" s="386"/>
      <c r="F625" s="444" t="s">
        <v>26</v>
      </c>
      <c r="G625" s="455"/>
      <c r="H625" s="455"/>
      <c r="I625" s="456"/>
      <c r="J625" s="467" t="s">
        <v>27</v>
      </c>
      <c r="K625" s="451"/>
      <c r="L625" s="451"/>
      <c r="M625" s="452"/>
      <c r="N625" s="476" t="s">
        <v>28</v>
      </c>
      <c r="O625" s="449"/>
      <c r="P625" s="449"/>
      <c r="Q625" s="449"/>
      <c r="R625" s="1"/>
      <c r="S625" s="1"/>
      <c r="U625" s="1"/>
      <c r="Y625" s="4"/>
      <c r="AJ625" s="5"/>
      <c r="AN625" s="1"/>
    </row>
    <row r="626" spans="2:41" x14ac:dyDescent="0.15">
      <c r="D626" s="400"/>
      <c r="E626" s="443"/>
      <c r="F626" s="371"/>
      <c r="G626" s="364" t="s">
        <v>29</v>
      </c>
      <c r="H626" s="364" t="s">
        <v>30</v>
      </c>
      <c r="I626" s="374" t="s">
        <v>31</v>
      </c>
      <c r="J626" s="14"/>
      <c r="K626" s="15" t="s">
        <v>29</v>
      </c>
      <c r="L626" s="15" t="s">
        <v>30</v>
      </c>
      <c r="M626" s="375" t="s">
        <v>31</v>
      </c>
      <c r="N626" s="372"/>
      <c r="O626" s="364" t="s">
        <v>29</v>
      </c>
      <c r="P626" s="364" t="s">
        <v>30</v>
      </c>
      <c r="Q626" s="375" t="s">
        <v>31</v>
      </c>
      <c r="R626" s="1"/>
      <c r="S626" s="1"/>
      <c r="U626" s="1"/>
      <c r="Y626" s="4"/>
      <c r="AJ626" s="5"/>
      <c r="AN626" s="1"/>
    </row>
    <row r="627" spans="2:41" x14ac:dyDescent="0.15">
      <c r="D627" s="439" t="s">
        <v>162</v>
      </c>
      <c r="E627" s="440"/>
      <c r="F627" s="54">
        <f>G627+H627+I627</f>
        <v>212</v>
      </c>
      <c r="G627" s="55">
        <v>23</v>
      </c>
      <c r="H627" s="55">
        <v>35</v>
      </c>
      <c r="I627" s="56">
        <v>154</v>
      </c>
      <c r="J627" s="54">
        <f>K627+L627+M627</f>
        <v>235</v>
      </c>
      <c r="K627" s="55">
        <v>19</v>
      </c>
      <c r="L627" s="55">
        <v>63</v>
      </c>
      <c r="M627" s="55">
        <v>153</v>
      </c>
      <c r="N627" s="55">
        <f>O627+P627+Q627</f>
        <v>171</v>
      </c>
      <c r="O627" s="55">
        <v>14</v>
      </c>
      <c r="P627" s="55">
        <v>43</v>
      </c>
      <c r="Q627" s="55">
        <v>114</v>
      </c>
      <c r="R627" s="1"/>
      <c r="S627" s="1"/>
      <c r="U627" s="1"/>
      <c r="Y627" s="4"/>
      <c r="AJ627" s="5"/>
      <c r="AN627" s="1"/>
    </row>
    <row r="628" spans="2:41" x14ac:dyDescent="0.15">
      <c r="D628" s="441"/>
      <c r="E628" s="442"/>
      <c r="F628" s="58">
        <f t="shared" ref="F628:N628" si="157">ROUND(F627/(F$627+F$629+F$631+F$633),3)</f>
        <v>0.34300000000000003</v>
      </c>
      <c r="G628" s="59">
        <f t="shared" si="157"/>
        <v>0.34799999999999998</v>
      </c>
      <c r="H628" s="59">
        <f t="shared" si="157"/>
        <v>0.27800000000000002</v>
      </c>
      <c r="I628" s="60">
        <f t="shared" si="157"/>
        <v>0.36199999999999999</v>
      </c>
      <c r="J628" s="58">
        <f t="shared" si="157"/>
        <v>0.35299999999999998</v>
      </c>
      <c r="K628" s="59">
        <f t="shared" si="157"/>
        <v>0.317</v>
      </c>
      <c r="L628" s="59">
        <f t="shared" si="157"/>
        <v>0.33900000000000002</v>
      </c>
      <c r="M628" s="59">
        <f t="shared" si="157"/>
        <v>0.36499999999999999</v>
      </c>
      <c r="N628" s="59">
        <f t="shared" si="157"/>
        <v>0.245</v>
      </c>
      <c r="O628" s="59">
        <f>ROUND(O627/(O$627+O$629+O$631+O$633),3)-0.001</f>
        <v>0.186</v>
      </c>
      <c r="P628" s="59">
        <f>ROUND(P627/(P$627+P$629+P$631+P$633),3)</f>
        <v>0.2</v>
      </c>
      <c r="Q628" s="59">
        <f>ROUND(Q627/(Q$627+Q$629+Q$631+Q$633),3)</f>
        <v>0.27900000000000003</v>
      </c>
      <c r="R628" s="1"/>
      <c r="S628" s="1"/>
      <c r="U628" s="1"/>
      <c r="Y628" s="4"/>
      <c r="AJ628" s="5"/>
      <c r="AN628" s="1"/>
    </row>
    <row r="629" spans="2:41" x14ac:dyDescent="0.15">
      <c r="D629" s="487" t="s">
        <v>163</v>
      </c>
      <c r="E629" s="440"/>
      <c r="F629" s="54">
        <f>G629+H629+I629</f>
        <v>328</v>
      </c>
      <c r="G629" s="55">
        <v>31</v>
      </c>
      <c r="H629" s="55">
        <v>68</v>
      </c>
      <c r="I629" s="56">
        <v>229</v>
      </c>
      <c r="J629" s="54">
        <f>K629+L629+M629</f>
        <v>329</v>
      </c>
      <c r="K629" s="55">
        <v>29</v>
      </c>
      <c r="L629" s="55">
        <v>93</v>
      </c>
      <c r="M629" s="55">
        <v>207</v>
      </c>
      <c r="N629" s="55">
        <f>O629+P629+Q629</f>
        <v>391</v>
      </c>
      <c r="O629" s="55">
        <v>48</v>
      </c>
      <c r="P629" s="55">
        <v>127</v>
      </c>
      <c r="Q629" s="55">
        <v>216</v>
      </c>
      <c r="R629" s="1"/>
      <c r="S629" s="1"/>
      <c r="U629" s="1"/>
      <c r="Y629" s="4"/>
      <c r="AJ629" s="5"/>
      <c r="AN629" s="1"/>
    </row>
    <row r="630" spans="2:41" x14ac:dyDescent="0.15">
      <c r="D630" s="441"/>
      <c r="E630" s="442"/>
      <c r="F630" s="58">
        <f t="shared" ref="F630:Q630" si="158">ROUND(F629/(F$627+F$629+F$631+F$633),3)</f>
        <v>0.53100000000000003</v>
      </c>
      <c r="G630" s="59">
        <f t="shared" si="158"/>
        <v>0.47</v>
      </c>
      <c r="H630" s="59">
        <f t="shared" si="158"/>
        <v>0.54</v>
      </c>
      <c r="I630" s="60">
        <f t="shared" si="158"/>
        <v>0.53800000000000003</v>
      </c>
      <c r="J630" s="58">
        <f t="shared" si="158"/>
        <v>0.495</v>
      </c>
      <c r="K630" s="59">
        <f t="shared" si="158"/>
        <v>0.48299999999999998</v>
      </c>
      <c r="L630" s="59">
        <f t="shared" si="158"/>
        <v>0.5</v>
      </c>
      <c r="M630" s="59">
        <f t="shared" si="158"/>
        <v>0.49399999999999999</v>
      </c>
      <c r="N630" s="59">
        <f t="shared" si="158"/>
        <v>0.55900000000000005</v>
      </c>
      <c r="O630" s="59">
        <f t="shared" si="158"/>
        <v>0.64</v>
      </c>
      <c r="P630" s="59">
        <f t="shared" si="158"/>
        <v>0.59099999999999997</v>
      </c>
      <c r="Q630" s="59">
        <f t="shared" si="158"/>
        <v>0.52800000000000002</v>
      </c>
      <c r="R630" s="1"/>
      <c r="S630" s="1"/>
      <c r="U630" s="1"/>
      <c r="Y630" s="4"/>
      <c r="AJ630" s="5"/>
      <c r="AN630" s="1"/>
    </row>
    <row r="631" spans="2:41" x14ac:dyDescent="0.15">
      <c r="D631" s="487" t="s">
        <v>164</v>
      </c>
      <c r="E631" s="440"/>
      <c r="F631" s="54">
        <f>G631+H631+I631</f>
        <v>63</v>
      </c>
      <c r="G631" s="55">
        <v>10</v>
      </c>
      <c r="H631" s="55">
        <v>19</v>
      </c>
      <c r="I631" s="56">
        <v>34</v>
      </c>
      <c r="J631" s="54">
        <f>K631+L631+M631</f>
        <v>63</v>
      </c>
      <c r="K631" s="55">
        <v>4</v>
      </c>
      <c r="L631" s="55">
        <v>20</v>
      </c>
      <c r="M631" s="55">
        <v>39</v>
      </c>
      <c r="N631" s="55">
        <f>O631+P631+Q631</f>
        <v>99</v>
      </c>
      <c r="O631" s="55">
        <v>11</v>
      </c>
      <c r="P631" s="55">
        <v>29</v>
      </c>
      <c r="Q631" s="55">
        <v>59</v>
      </c>
      <c r="R631" s="1"/>
      <c r="S631" s="1"/>
      <c r="U631" s="1"/>
      <c r="Y631" s="4"/>
      <c r="AJ631" s="5"/>
      <c r="AN631" s="1"/>
    </row>
    <row r="632" spans="2:41" x14ac:dyDescent="0.15">
      <c r="D632" s="441"/>
      <c r="E632" s="442"/>
      <c r="F632" s="58">
        <f t="shared" ref="F632:Q632" si="159">ROUND(F631/(F$627+F$629+F$631+F$633),3)</f>
        <v>0.10199999999999999</v>
      </c>
      <c r="G632" s="59">
        <f t="shared" si="159"/>
        <v>0.152</v>
      </c>
      <c r="H632" s="59">
        <f t="shared" si="159"/>
        <v>0.151</v>
      </c>
      <c r="I632" s="60">
        <f t="shared" si="159"/>
        <v>0.08</v>
      </c>
      <c r="J632" s="58">
        <f t="shared" si="159"/>
        <v>9.5000000000000001E-2</v>
      </c>
      <c r="K632" s="59">
        <f t="shared" si="159"/>
        <v>6.7000000000000004E-2</v>
      </c>
      <c r="L632" s="59">
        <f t="shared" si="159"/>
        <v>0.108</v>
      </c>
      <c r="M632" s="59">
        <f t="shared" si="159"/>
        <v>9.2999999999999999E-2</v>
      </c>
      <c r="N632" s="59">
        <f t="shared" si="159"/>
        <v>0.14199999999999999</v>
      </c>
      <c r="O632" s="59">
        <f t="shared" si="159"/>
        <v>0.14699999999999999</v>
      </c>
      <c r="P632" s="59">
        <f t="shared" si="159"/>
        <v>0.13500000000000001</v>
      </c>
      <c r="Q632" s="59">
        <f t="shared" si="159"/>
        <v>0.14399999999999999</v>
      </c>
      <c r="R632" s="1"/>
      <c r="S632" s="1"/>
      <c r="U632" s="1"/>
      <c r="Y632" s="4"/>
      <c r="AJ632" s="5"/>
      <c r="AN632" s="1"/>
    </row>
    <row r="633" spans="2:41" x14ac:dyDescent="0.15">
      <c r="D633" s="439" t="s">
        <v>165</v>
      </c>
      <c r="E633" s="440"/>
      <c r="F633" s="54">
        <f>G633+H633+I633</f>
        <v>15</v>
      </c>
      <c r="G633" s="55">
        <v>2</v>
      </c>
      <c r="H633" s="55">
        <v>4</v>
      </c>
      <c r="I633" s="56">
        <v>9</v>
      </c>
      <c r="J633" s="54">
        <f>K633+L633+M633</f>
        <v>38</v>
      </c>
      <c r="K633" s="55">
        <v>8</v>
      </c>
      <c r="L633" s="55">
        <v>10</v>
      </c>
      <c r="M633" s="55">
        <v>20</v>
      </c>
      <c r="N633" s="55">
        <f>O633+P633+Q633</f>
        <v>38</v>
      </c>
      <c r="O633" s="55">
        <v>2</v>
      </c>
      <c r="P633" s="55">
        <v>16</v>
      </c>
      <c r="Q633" s="55">
        <v>20</v>
      </c>
      <c r="R633" s="1"/>
      <c r="S633" s="1"/>
      <c r="U633" s="1"/>
      <c r="Y633" s="4"/>
      <c r="AJ633" s="5"/>
      <c r="AN633" s="1"/>
    </row>
    <row r="634" spans="2:41" x14ac:dyDescent="0.15">
      <c r="D634" s="441"/>
      <c r="E634" s="442"/>
      <c r="F634" s="58">
        <f t="shared" ref="F634:Q634" si="160">ROUND(F633/(F$627+F$629+F$631+F$633),3)</f>
        <v>2.4E-2</v>
      </c>
      <c r="G634" s="59">
        <f t="shared" si="160"/>
        <v>0.03</v>
      </c>
      <c r="H634" s="59">
        <f t="shared" si="160"/>
        <v>3.2000000000000001E-2</v>
      </c>
      <c r="I634" s="60">
        <f t="shared" si="160"/>
        <v>2.1000000000000001E-2</v>
      </c>
      <c r="J634" s="58">
        <f t="shared" si="160"/>
        <v>5.7000000000000002E-2</v>
      </c>
      <c r="K634" s="59">
        <f t="shared" si="160"/>
        <v>0.13300000000000001</v>
      </c>
      <c r="L634" s="59">
        <f t="shared" si="160"/>
        <v>5.3999999999999999E-2</v>
      </c>
      <c r="M634" s="59">
        <f t="shared" si="160"/>
        <v>4.8000000000000001E-2</v>
      </c>
      <c r="N634" s="59">
        <f t="shared" si="160"/>
        <v>5.3999999999999999E-2</v>
      </c>
      <c r="O634" s="59">
        <f t="shared" si="160"/>
        <v>2.7E-2</v>
      </c>
      <c r="P634" s="59">
        <f t="shared" si="160"/>
        <v>7.3999999999999996E-2</v>
      </c>
      <c r="Q634" s="59">
        <f t="shared" si="160"/>
        <v>4.9000000000000002E-2</v>
      </c>
      <c r="R634" s="1"/>
      <c r="S634" s="1"/>
      <c r="U634" s="1"/>
      <c r="Y634" s="4"/>
      <c r="AJ634" s="5"/>
      <c r="AN634" s="1"/>
    </row>
    <row r="635" spans="2:41" x14ac:dyDescent="0.15">
      <c r="D635" s="449" t="s">
        <v>53</v>
      </c>
      <c r="E635" s="426"/>
      <c r="F635" s="54">
        <f t="shared" ref="F635:Q636" si="161">F627+F629+F631+F633</f>
        <v>618</v>
      </c>
      <c r="G635" s="55">
        <f t="shared" si="161"/>
        <v>66</v>
      </c>
      <c r="H635" s="55">
        <f t="shared" si="161"/>
        <v>126</v>
      </c>
      <c r="I635" s="56">
        <f t="shared" si="161"/>
        <v>426</v>
      </c>
      <c r="J635" s="54">
        <f t="shared" si="161"/>
        <v>665</v>
      </c>
      <c r="K635" s="55">
        <f t="shared" si="161"/>
        <v>60</v>
      </c>
      <c r="L635" s="55">
        <f t="shared" si="161"/>
        <v>186</v>
      </c>
      <c r="M635" s="55">
        <f t="shared" si="161"/>
        <v>419</v>
      </c>
      <c r="N635" s="55">
        <f t="shared" si="161"/>
        <v>699</v>
      </c>
      <c r="O635" s="55">
        <f t="shared" si="161"/>
        <v>75</v>
      </c>
      <c r="P635" s="55">
        <f t="shared" si="161"/>
        <v>215</v>
      </c>
      <c r="Q635" s="55">
        <f t="shared" si="161"/>
        <v>409</v>
      </c>
      <c r="R635" s="1"/>
      <c r="S635" s="1"/>
      <c r="U635" s="1"/>
      <c r="Y635" s="4"/>
      <c r="AJ635" s="5"/>
      <c r="AN635" s="1"/>
    </row>
    <row r="636" spans="2:41" ht="14.25" thickBot="1" x14ac:dyDescent="0.2">
      <c r="D636" s="449"/>
      <c r="E636" s="426"/>
      <c r="F636" s="65">
        <f t="shared" si="161"/>
        <v>1</v>
      </c>
      <c r="G636" s="66">
        <f t="shared" si="161"/>
        <v>1</v>
      </c>
      <c r="H636" s="66">
        <f t="shared" si="161"/>
        <v>1.0010000000000001</v>
      </c>
      <c r="I636" s="67">
        <f t="shared" si="161"/>
        <v>1.0009999999999999</v>
      </c>
      <c r="J636" s="68">
        <f t="shared" si="161"/>
        <v>1</v>
      </c>
      <c r="K636" s="69">
        <f t="shared" si="161"/>
        <v>1</v>
      </c>
      <c r="L636" s="69">
        <f t="shared" si="161"/>
        <v>1.0009999999999999</v>
      </c>
      <c r="M636" s="69">
        <f t="shared" si="161"/>
        <v>1</v>
      </c>
      <c r="N636" s="69">
        <f t="shared" si="161"/>
        <v>1</v>
      </c>
      <c r="O636" s="69">
        <f t="shared" si="161"/>
        <v>1</v>
      </c>
      <c r="P636" s="69">
        <f t="shared" si="161"/>
        <v>0.99999999999999989</v>
      </c>
      <c r="Q636" s="69">
        <f t="shared" si="161"/>
        <v>1</v>
      </c>
      <c r="R636" s="1"/>
      <c r="S636" s="1"/>
      <c r="U636" s="1"/>
      <c r="Y636" s="4"/>
      <c r="AJ636" s="5"/>
      <c r="AN636" s="1"/>
    </row>
    <row r="637" spans="2:41" x14ac:dyDescent="0.15">
      <c r="D637" s="100"/>
      <c r="E637" s="100"/>
      <c r="F637" s="100"/>
      <c r="G637" s="78"/>
      <c r="H637" s="78"/>
      <c r="I637" s="78"/>
      <c r="J637" s="100"/>
      <c r="K637" s="78"/>
      <c r="L637" s="78"/>
      <c r="M637" s="78"/>
      <c r="N637" s="78"/>
      <c r="O637" s="90"/>
      <c r="P637" s="78"/>
      <c r="Q637" s="78"/>
      <c r="R637" s="78"/>
      <c r="S637" s="78"/>
      <c r="T637" s="72"/>
      <c r="U637" s="13"/>
      <c r="V637" s="72"/>
      <c r="W637" s="46"/>
      <c r="X637" s="2"/>
      <c r="AN637" s="1"/>
      <c r="AO637" s="5"/>
    </row>
    <row r="638" spans="2:41" x14ac:dyDescent="0.15">
      <c r="D638" s="100"/>
      <c r="E638" s="100"/>
      <c r="F638" s="100"/>
      <c r="G638" s="78"/>
      <c r="H638" s="78"/>
      <c r="I638" s="78"/>
      <c r="J638" s="78"/>
      <c r="K638" s="78"/>
      <c r="L638" s="78"/>
      <c r="M638" s="78"/>
      <c r="N638" s="78"/>
      <c r="O638" s="90"/>
      <c r="P638" s="78"/>
      <c r="Q638" s="78"/>
      <c r="R638" s="78"/>
      <c r="S638" s="78"/>
      <c r="T638" s="72"/>
      <c r="U638" s="13"/>
      <c r="V638" s="72"/>
      <c r="W638" s="46"/>
      <c r="X638" s="2"/>
      <c r="AN638" s="1"/>
      <c r="AO638" s="5"/>
    </row>
    <row r="639" spans="2:41" x14ac:dyDescent="0.15">
      <c r="D639" s="100"/>
      <c r="E639" s="100"/>
      <c r="F639" s="100"/>
      <c r="G639" s="78"/>
      <c r="H639" s="78"/>
      <c r="I639" s="78"/>
      <c r="J639" s="78"/>
      <c r="K639" s="78"/>
      <c r="L639" s="78"/>
      <c r="M639" s="78"/>
      <c r="N639" s="78"/>
      <c r="O639" s="90"/>
      <c r="P639" s="78"/>
      <c r="Q639" s="78"/>
      <c r="R639" s="78"/>
      <c r="S639" s="78"/>
      <c r="T639" s="72"/>
      <c r="U639" s="13"/>
      <c r="V639" s="72"/>
      <c r="W639" s="46"/>
      <c r="X639" s="2"/>
      <c r="AN639" s="1"/>
      <c r="AO639" s="5"/>
    </row>
    <row r="640" spans="2:41" ht="12.75" customHeight="1" thickBot="1" x14ac:dyDescent="0.2">
      <c r="B640" s="10"/>
      <c r="C640" s="2" t="s">
        <v>173</v>
      </c>
      <c r="K640" s="52"/>
      <c r="O640" s="52"/>
    </row>
    <row r="641" spans="2:41" ht="12.75" customHeight="1" x14ac:dyDescent="0.15">
      <c r="D641" s="399"/>
      <c r="E641" s="386"/>
      <c r="F641" s="444" t="s">
        <v>26</v>
      </c>
      <c r="G641" s="455"/>
      <c r="H641" s="455"/>
      <c r="I641" s="456"/>
      <c r="J641" s="467" t="s">
        <v>27</v>
      </c>
      <c r="K641" s="451"/>
      <c r="L641" s="451"/>
      <c r="M641" s="452"/>
      <c r="N641" s="476" t="s">
        <v>28</v>
      </c>
      <c r="O641" s="449"/>
      <c r="P641" s="449"/>
      <c r="Q641" s="449"/>
      <c r="R641" s="1"/>
      <c r="S641" s="1"/>
      <c r="U641" s="1"/>
      <c r="Y641" s="4"/>
      <c r="AJ641" s="5"/>
      <c r="AN641" s="1"/>
    </row>
    <row r="642" spans="2:41" ht="12.75" customHeight="1" x14ac:dyDescent="0.15">
      <c r="D642" s="400"/>
      <c r="E642" s="443"/>
      <c r="F642" s="371"/>
      <c r="G642" s="364" t="s">
        <v>29</v>
      </c>
      <c r="H642" s="364" t="s">
        <v>30</v>
      </c>
      <c r="I642" s="374" t="s">
        <v>31</v>
      </c>
      <c r="J642" s="14"/>
      <c r="K642" s="15" t="s">
        <v>29</v>
      </c>
      <c r="L642" s="15" t="s">
        <v>30</v>
      </c>
      <c r="M642" s="375" t="s">
        <v>31</v>
      </c>
      <c r="N642" s="372"/>
      <c r="O642" s="364" t="s">
        <v>29</v>
      </c>
      <c r="P642" s="364" t="s">
        <v>30</v>
      </c>
      <c r="Q642" s="375" t="s">
        <v>31</v>
      </c>
      <c r="R642" s="1"/>
      <c r="S642" s="1"/>
      <c r="U642" s="1"/>
      <c r="Y642" s="4"/>
      <c r="AJ642" s="5"/>
      <c r="AN642" s="1"/>
    </row>
    <row r="643" spans="2:41" ht="12.75" customHeight="1" x14ac:dyDescent="0.15">
      <c r="D643" s="439" t="s">
        <v>162</v>
      </c>
      <c r="E643" s="440"/>
      <c r="F643" s="54">
        <f>G643+H643+I643</f>
        <v>198</v>
      </c>
      <c r="G643" s="55">
        <v>35</v>
      </c>
      <c r="H643" s="55">
        <v>25</v>
      </c>
      <c r="I643" s="56">
        <v>138</v>
      </c>
      <c r="J643" s="54">
        <f>K643+L643+M643</f>
        <v>211</v>
      </c>
      <c r="K643" s="55">
        <v>26</v>
      </c>
      <c r="L643" s="55">
        <v>47</v>
      </c>
      <c r="M643" s="55">
        <v>138</v>
      </c>
      <c r="N643" s="55">
        <f>O643+P643+Q643</f>
        <v>156</v>
      </c>
      <c r="O643" s="55">
        <v>28</v>
      </c>
      <c r="P643" s="55">
        <v>28</v>
      </c>
      <c r="Q643" s="55">
        <v>100</v>
      </c>
      <c r="R643" s="1"/>
      <c r="S643" s="1"/>
      <c r="U643" s="1"/>
      <c r="Y643" s="4"/>
      <c r="AJ643" s="5"/>
      <c r="AN643" s="1"/>
    </row>
    <row r="644" spans="2:41" ht="12.75" customHeight="1" x14ac:dyDescent="0.15">
      <c r="D644" s="441"/>
      <c r="E644" s="442"/>
      <c r="F644" s="58">
        <f t="shared" ref="F644:Q644" si="162">ROUND(F643/(F$643+F$645+F$647+F$649),3)</f>
        <v>0.32</v>
      </c>
      <c r="G644" s="59">
        <f t="shared" si="162"/>
        <v>0.53</v>
      </c>
      <c r="H644" s="59">
        <f t="shared" si="162"/>
        <v>0.19800000000000001</v>
      </c>
      <c r="I644" s="60">
        <f t="shared" si="162"/>
        <v>0.32400000000000001</v>
      </c>
      <c r="J644" s="58">
        <f t="shared" si="162"/>
        <v>0.317</v>
      </c>
      <c r="K644" s="59">
        <f t="shared" si="162"/>
        <v>0.433</v>
      </c>
      <c r="L644" s="59">
        <f t="shared" si="162"/>
        <v>0.253</v>
      </c>
      <c r="M644" s="59">
        <f t="shared" si="162"/>
        <v>0.32900000000000001</v>
      </c>
      <c r="N644" s="59">
        <f t="shared" si="162"/>
        <v>0.223</v>
      </c>
      <c r="O644" s="59">
        <f t="shared" si="162"/>
        <v>0.378</v>
      </c>
      <c r="P644" s="59">
        <f t="shared" si="162"/>
        <v>0.13</v>
      </c>
      <c r="Q644" s="59">
        <f t="shared" si="162"/>
        <v>0.24299999999999999</v>
      </c>
      <c r="R644" s="1"/>
      <c r="S644" s="1"/>
      <c r="U644" s="1"/>
      <c r="Y644" s="4"/>
      <c r="AJ644" s="5"/>
      <c r="AN644" s="1"/>
    </row>
    <row r="645" spans="2:41" ht="12.75" customHeight="1" x14ac:dyDescent="0.15">
      <c r="D645" s="487" t="s">
        <v>163</v>
      </c>
      <c r="E645" s="440"/>
      <c r="F645" s="54">
        <f>G645+H645+I645</f>
        <v>302</v>
      </c>
      <c r="G645" s="55">
        <v>26</v>
      </c>
      <c r="H645" s="55">
        <v>61</v>
      </c>
      <c r="I645" s="56">
        <v>215</v>
      </c>
      <c r="J645" s="54">
        <f>K645+L645+M645</f>
        <v>313</v>
      </c>
      <c r="K645" s="55">
        <v>30</v>
      </c>
      <c r="L645" s="55">
        <v>84</v>
      </c>
      <c r="M645" s="55">
        <v>199</v>
      </c>
      <c r="N645" s="55">
        <f>O645+P645+Q645</f>
        <v>361</v>
      </c>
      <c r="O645" s="55">
        <v>39</v>
      </c>
      <c r="P645" s="55">
        <v>111</v>
      </c>
      <c r="Q645" s="55">
        <v>211</v>
      </c>
      <c r="R645" s="1"/>
      <c r="S645" s="1"/>
      <c r="U645" s="1"/>
      <c r="Y645" s="4"/>
      <c r="AJ645" s="5"/>
      <c r="AN645" s="1"/>
    </row>
    <row r="646" spans="2:41" ht="12.75" customHeight="1" x14ac:dyDescent="0.15">
      <c r="D646" s="441"/>
      <c r="E646" s="442"/>
      <c r="F646" s="58">
        <f>ROUND(F645/(F$643+F$645+F$647+F$649),3)</f>
        <v>0.48899999999999999</v>
      </c>
      <c r="G646" s="59">
        <f>ROUND(G645/(G$643+G$645+G$647+G$649),3)</f>
        <v>0.39400000000000002</v>
      </c>
      <c r="H646" s="59">
        <f>ROUND(H645/(H$643+H$645+H$647+H$649),3)</f>
        <v>0.48399999999999999</v>
      </c>
      <c r="I646" s="60">
        <f>ROUND(I645/(I$643+I$645+I$647+I$649),3)+0.001</f>
        <v>0.50600000000000001</v>
      </c>
      <c r="J646" s="58">
        <f>ROUND(J645/(J$643+J$645+J$647+J$649),3)</f>
        <v>0.47</v>
      </c>
      <c r="K646" s="59">
        <f>ROUND(K645/(K$643+K$645+K$647+K$649),3)</f>
        <v>0.5</v>
      </c>
      <c r="L646" s="59">
        <f>ROUND(L645/(L$643+L$645+L$647+L$649),3)</f>
        <v>0.45200000000000001</v>
      </c>
      <c r="M646" s="59">
        <f>ROUND(M645/(M$643+M$645+M$647+M$649),3)+0.001</f>
        <v>0.47499999999999998</v>
      </c>
      <c r="N646" s="59">
        <f>ROUND(N645/(N$643+N$645+N$647+N$649),3)</f>
        <v>0.51600000000000001</v>
      </c>
      <c r="O646" s="59">
        <f>ROUND(O645/(O$643+O$645+O$647+O$649),3)</f>
        <v>0.52700000000000002</v>
      </c>
      <c r="P646" s="59">
        <f>ROUND(P645/(P$643+P$645+P$647+P$649),3)</f>
        <v>0.51600000000000001</v>
      </c>
      <c r="Q646" s="59">
        <f>ROUND(Q645/(Q$643+Q$645+Q$647+Q$649),3)+0.001</f>
        <v>0.51400000000000001</v>
      </c>
      <c r="R646" s="1"/>
      <c r="S646" s="1"/>
      <c r="U646" s="1"/>
      <c r="Y646" s="4"/>
      <c r="AJ646" s="5"/>
      <c r="AN646" s="1"/>
    </row>
    <row r="647" spans="2:41" ht="12.75" customHeight="1" x14ac:dyDescent="0.15">
      <c r="D647" s="487" t="s">
        <v>164</v>
      </c>
      <c r="E647" s="440"/>
      <c r="F647" s="54">
        <f>G647+H647+I647</f>
        <v>93</v>
      </c>
      <c r="G647" s="55">
        <v>5</v>
      </c>
      <c r="H647" s="55">
        <v>33</v>
      </c>
      <c r="I647" s="56">
        <v>55</v>
      </c>
      <c r="J647" s="54">
        <f>K647+L647+M647</f>
        <v>115</v>
      </c>
      <c r="K647" s="55">
        <v>3</v>
      </c>
      <c r="L647" s="55">
        <v>44</v>
      </c>
      <c r="M647" s="55">
        <v>68</v>
      </c>
      <c r="N647" s="55">
        <f>O647+P647+Q647</f>
        <v>134</v>
      </c>
      <c r="O647" s="55">
        <v>5</v>
      </c>
      <c r="P647" s="55">
        <v>52</v>
      </c>
      <c r="Q647" s="55">
        <v>77</v>
      </c>
      <c r="R647" s="1"/>
      <c r="S647" s="1"/>
      <c r="U647" s="1"/>
      <c r="Y647" s="4"/>
      <c r="AJ647" s="5"/>
      <c r="AN647" s="1"/>
    </row>
    <row r="648" spans="2:41" ht="12.75" customHeight="1" x14ac:dyDescent="0.15">
      <c r="D648" s="441"/>
      <c r="E648" s="442"/>
      <c r="F648" s="58">
        <f t="shared" ref="F648:Q648" si="163">ROUND(F647/(F$643+F$645+F$647+F$649),3)</f>
        <v>0.15</v>
      </c>
      <c r="G648" s="59">
        <f t="shared" si="163"/>
        <v>7.5999999999999998E-2</v>
      </c>
      <c r="H648" s="59">
        <f t="shared" si="163"/>
        <v>0.26200000000000001</v>
      </c>
      <c r="I648" s="60">
        <f t="shared" si="163"/>
        <v>0.129</v>
      </c>
      <c r="J648" s="58">
        <f t="shared" si="163"/>
        <v>0.17299999999999999</v>
      </c>
      <c r="K648" s="59">
        <f t="shared" si="163"/>
        <v>0.05</v>
      </c>
      <c r="L648" s="59">
        <f t="shared" si="163"/>
        <v>0.23699999999999999</v>
      </c>
      <c r="M648" s="59">
        <f t="shared" si="163"/>
        <v>0.16200000000000001</v>
      </c>
      <c r="N648" s="59">
        <f t="shared" si="163"/>
        <v>0.191</v>
      </c>
      <c r="O648" s="59">
        <f t="shared" si="163"/>
        <v>6.8000000000000005E-2</v>
      </c>
      <c r="P648" s="59">
        <f t="shared" si="163"/>
        <v>0.24199999999999999</v>
      </c>
      <c r="Q648" s="59">
        <f t="shared" si="163"/>
        <v>0.187</v>
      </c>
      <c r="R648" s="1"/>
      <c r="S648" s="1"/>
      <c r="U648" s="1"/>
      <c r="Y648" s="4"/>
      <c r="AJ648" s="5"/>
      <c r="AN648" s="1"/>
    </row>
    <row r="649" spans="2:41" ht="12.75" customHeight="1" x14ac:dyDescent="0.15">
      <c r="D649" s="439" t="s">
        <v>165</v>
      </c>
      <c r="E649" s="440"/>
      <c r="F649" s="54">
        <f>G649+H649+I649</f>
        <v>25</v>
      </c>
      <c r="G649" s="55">
        <v>0</v>
      </c>
      <c r="H649" s="55">
        <v>7</v>
      </c>
      <c r="I649" s="56">
        <v>18</v>
      </c>
      <c r="J649" s="54">
        <f>K649+L649+M649</f>
        <v>27</v>
      </c>
      <c r="K649" s="55">
        <v>1</v>
      </c>
      <c r="L649" s="55">
        <v>11</v>
      </c>
      <c r="M649" s="55">
        <v>15</v>
      </c>
      <c r="N649" s="55">
        <f>O649+P649+Q649</f>
        <v>49</v>
      </c>
      <c r="O649" s="55">
        <v>2</v>
      </c>
      <c r="P649" s="55">
        <v>24</v>
      </c>
      <c r="Q649" s="55">
        <v>23</v>
      </c>
      <c r="R649" s="1"/>
      <c r="S649" s="1"/>
      <c r="U649" s="1"/>
      <c r="Y649" s="4"/>
      <c r="AJ649" s="5"/>
      <c r="AN649" s="1"/>
    </row>
    <row r="650" spans="2:41" ht="12.75" customHeight="1" x14ac:dyDescent="0.15">
      <c r="D650" s="441"/>
      <c r="E650" s="442"/>
      <c r="F650" s="58">
        <f t="shared" ref="F650:Q650" si="164">ROUND(F649/(F$643+F$645+F$647+F$649),3)</f>
        <v>0.04</v>
      </c>
      <c r="G650" s="59">
        <f t="shared" si="164"/>
        <v>0</v>
      </c>
      <c r="H650" s="59">
        <f t="shared" si="164"/>
        <v>5.6000000000000001E-2</v>
      </c>
      <c r="I650" s="60">
        <f t="shared" si="164"/>
        <v>4.2000000000000003E-2</v>
      </c>
      <c r="J650" s="58">
        <f t="shared" si="164"/>
        <v>4.1000000000000002E-2</v>
      </c>
      <c r="K650" s="59">
        <f t="shared" si="164"/>
        <v>1.7000000000000001E-2</v>
      </c>
      <c r="L650" s="59">
        <f t="shared" si="164"/>
        <v>5.8999999999999997E-2</v>
      </c>
      <c r="M650" s="59">
        <f t="shared" si="164"/>
        <v>3.5999999999999997E-2</v>
      </c>
      <c r="N650" s="59">
        <f t="shared" si="164"/>
        <v>7.0000000000000007E-2</v>
      </c>
      <c r="O650" s="59">
        <f t="shared" si="164"/>
        <v>2.7E-2</v>
      </c>
      <c r="P650" s="59">
        <f t="shared" si="164"/>
        <v>0.112</v>
      </c>
      <c r="Q650" s="59">
        <f t="shared" si="164"/>
        <v>5.6000000000000001E-2</v>
      </c>
      <c r="R650" s="1"/>
      <c r="S650" s="1"/>
      <c r="U650" s="1"/>
      <c r="Y650" s="4"/>
      <c r="AJ650" s="5"/>
      <c r="AN650" s="1"/>
    </row>
    <row r="651" spans="2:41" ht="12.75" customHeight="1" x14ac:dyDescent="0.15">
      <c r="D651" s="449" t="s">
        <v>53</v>
      </c>
      <c r="E651" s="426"/>
      <c r="F651" s="54">
        <f t="shared" ref="F651:Q652" si="165">F643+F645+F647+F649</f>
        <v>618</v>
      </c>
      <c r="G651" s="55">
        <f t="shared" si="165"/>
        <v>66</v>
      </c>
      <c r="H651" s="55">
        <f t="shared" si="165"/>
        <v>126</v>
      </c>
      <c r="I651" s="56">
        <f t="shared" si="165"/>
        <v>426</v>
      </c>
      <c r="J651" s="54">
        <f t="shared" si="165"/>
        <v>666</v>
      </c>
      <c r="K651" s="55">
        <f t="shared" si="165"/>
        <v>60</v>
      </c>
      <c r="L651" s="55">
        <f t="shared" si="165"/>
        <v>186</v>
      </c>
      <c r="M651" s="55">
        <f t="shared" si="165"/>
        <v>420</v>
      </c>
      <c r="N651" s="55">
        <f t="shared" si="165"/>
        <v>700</v>
      </c>
      <c r="O651" s="55">
        <f t="shared" si="165"/>
        <v>74</v>
      </c>
      <c r="P651" s="55">
        <f t="shared" si="165"/>
        <v>215</v>
      </c>
      <c r="Q651" s="55">
        <f t="shared" si="165"/>
        <v>411</v>
      </c>
      <c r="R651" s="1"/>
      <c r="S651" s="1"/>
      <c r="U651" s="1"/>
      <c r="Y651" s="4"/>
      <c r="AJ651" s="5"/>
      <c r="AN651" s="1"/>
    </row>
    <row r="652" spans="2:41" ht="12.75" customHeight="1" thickBot="1" x14ac:dyDescent="0.2">
      <c r="D652" s="449"/>
      <c r="E652" s="426"/>
      <c r="F652" s="65">
        <f t="shared" si="165"/>
        <v>0.999</v>
      </c>
      <c r="G652" s="66">
        <f t="shared" si="165"/>
        <v>1</v>
      </c>
      <c r="H652" s="66">
        <f t="shared" si="165"/>
        <v>1</v>
      </c>
      <c r="I652" s="67">
        <f t="shared" si="165"/>
        <v>1.0010000000000001</v>
      </c>
      <c r="J652" s="68">
        <f t="shared" si="165"/>
        <v>1.0009999999999999</v>
      </c>
      <c r="K652" s="69">
        <f t="shared" si="165"/>
        <v>1</v>
      </c>
      <c r="L652" s="69">
        <f t="shared" si="165"/>
        <v>1.0010000000000001</v>
      </c>
      <c r="M652" s="69">
        <f t="shared" si="165"/>
        <v>1.002</v>
      </c>
      <c r="N652" s="69">
        <f t="shared" si="165"/>
        <v>1</v>
      </c>
      <c r="O652" s="69">
        <f t="shared" si="165"/>
        <v>1</v>
      </c>
      <c r="P652" s="69">
        <f t="shared" si="165"/>
        <v>1</v>
      </c>
      <c r="Q652" s="69">
        <f t="shared" si="165"/>
        <v>1</v>
      </c>
      <c r="R652" s="1"/>
      <c r="S652" s="1"/>
      <c r="U652" s="1"/>
      <c r="Y652" s="4"/>
      <c r="AJ652" s="5"/>
      <c r="AN652" s="1"/>
    </row>
    <row r="653" spans="2:41" ht="12.75" customHeight="1" x14ac:dyDescent="0.15">
      <c r="D653" s="100"/>
      <c r="E653" s="100"/>
      <c r="F653" s="100"/>
      <c r="G653" s="78"/>
      <c r="H653" s="78"/>
      <c r="I653" s="78"/>
      <c r="J653" s="78"/>
      <c r="K653" s="78"/>
      <c r="L653" s="78"/>
      <c r="M653" s="78"/>
      <c r="N653" s="78"/>
      <c r="O653" s="90"/>
      <c r="P653" s="78"/>
      <c r="Q653" s="78"/>
      <c r="R653" s="78"/>
      <c r="S653" s="78"/>
      <c r="T653" s="72"/>
      <c r="U653" s="13"/>
      <c r="V653" s="72"/>
      <c r="W653" s="46"/>
      <c r="X653" s="2"/>
      <c r="AN653" s="1"/>
      <c r="AO653" s="5"/>
    </row>
    <row r="654" spans="2:41" ht="9.75" customHeight="1" x14ac:dyDescent="0.15">
      <c r="D654" s="100"/>
      <c r="E654" s="100"/>
      <c r="F654" s="100"/>
      <c r="G654" s="78"/>
      <c r="H654" s="78"/>
      <c r="I654" s="78"/>
      <c r="J654" s="78"/>
      <c r="K654" s="78"/>
      <c r="L654" s="78"/>
      <c r="M654" s="78"/>
      <c r="N654" s="78"/>
      <c r="O654" s="90"/>
      <c r="P654" s="78"/>
      <c r="Q654" s="78"/>
      <c r="R654" s="78"/>
      <c r="S654" s="78"/>
      <c r="T654" s="72"/>
      <c r="U654" s="13"/>
      <c r="V654" s="72"/>
      <c r="W654" s="46"/>
      <c r="X654" s="2"/>
      <c r="AN654" s="1"/>
      <c r="AO654" s="5"/>
    </row>
    <row r="655" spans="2:41" ht="9.75" customHeight="1" x14ac:dyDescent="0.15">
      <c r="D655" s="100"/>
      <c r="E655" s="100"/>
      <c r="F655" s="100"/>
      <c r="G655" s="78"/>
      <c r="H655" s="78"/>
      <c r="I655" s="78"/>
      <c r="J655" s="78"/>
      <c r="K655" s="78"/>
      <c r="L655" s="78"/>
      <c r="M655" s="78"/>
      <c r="N655" s="78"/>
      <c r="O655" s="90"/>
      <c r="P655" s="78"/>
      <c r="Q655" s="78"/>
      <c r="R655" s="78"/>
      <c r="S655" s="78"/>
      <c r="T655" s="72"/>
      <c r="U655" s="13"/>
      <c r="V655" s="72"/>
      <c r="W655" s="46"/>
      <c r="X655" s="2"/>
      <c r="AN655" s="1"/>
      <c r="AO655" s="5"/>
    </row>
    <row r="656" spans="2:41" ht="12.75" customHeight="1" thickBot="1" x14ac:dyDescent="0.2">
      <c r="B656" s="10" t="s">
        <v>174</v>
      </c>
      <c r="K656" s="52"/>
      <c r="O656" s="52"/>
    </row>
    <row r="657" spans="4:40" ht="12.75" customHeight="1" x14ac:dyDescent="0.15">
      <c r="D657" s="399"/>
      <c r="E657" s="386"/>
      <c r="F657" s="444" t="s">
        <v>175</v>
      </c>
      <c r="G657" s="384"/>
      <c r="H657" s="384"/>
      <c r="I657" s="385"/>
      <c r="J657" s="489" t="s">
        <v>176</v>
      </c>
      <c r="K657" s="490"/>
      <c r="L657" s="490"/>
      <c r="M657" s="491"/>
      <c r="N657" s="1"/>
      <c r="O657" s="1"/>
      <c r="P657" s="1"/>
      <c r="Q657" s="1"/>
      <c r="R657" s="1"/>
      <c r="S657" s="1"/>
      <c r="X657" s="399"/>
      <c r="Y657" s="386"/>
      <c r="Z657" s="444" t="s">
        <v>175</v>
      </c>
      <c r="AA657" s="384"/>
      <c r="AB657" s="384"/>
      <c r="AC657" s="385"/>
      <c r="AD657" s="489" t="s">
        <v>176</v>
      </c>
      <c r="AE657" s="490"/>
      <c r="AF657" s="490"/>
      <c r="AG657" s="491"/>
      <c r="AN657" s="1"/>
    </row>
    <row r="658" spans="4:40" ht="12.75" customHeight="1" x14ac:dyDescent="0.15">
      <c r="D658" s="400"/>
      <c r="E658" s="443"/>
      <c r="F658" s="371" t="s">
        <v>26</v>
      </c>
      <c r="G658" s="364" t="s">
        <v>29</v>
      </c>
      <c r="H658" s="364" t="s">
        <v>30</v>
      </c>
      <c r="I658" s="374" t="s">
        <v>31</v>
      </c>
      <c r="J658" s="371" t="s">
        <v>26</v>
      </c>
      <c r="K658" s="364" t="s">
        <v>29</v>
      </c>
      <c r="L658" s="364" t="s">
        <v>30</v>
      </c>
      <c r="M658" s="374" t="s">
        <v>31</v>
      </c>
      <c r="N658" s="1"/>
      <c r="O658" s="1"/>
      <c r="P658" s="1"/>
      <c r="Q658" s="1"/>
      <c r="R658" s="1"/>
      <c r="S658" s="1"/>
      <c r="X658" s="400"/>
      <c r="Y658" s="443"/>
      <c r="Z658" s="14" t="s">
        <v>28</v>
      </c>
      <c r="AA658" s="15" t="s">
        <v>29</v>
      </c>
      <c r="AB658" s="15" t="s">
        <v>30</v>
      </c>
      <c r="AC658" s="53" t="s">
        <v>31</v>
      </c>
      <c r="AD658" s="14" t="s">
        <v>28</v>
      </c>
      <c r="AE658" s="15" t="s">
        <v>29</v>
      </c>
      <c r="AF658" s="15" t="s">
        <v>30</v>
      </c>
      <c r="AG658" s="53" t="s">
        <v>31</v>
      </c>
      <c r="AN658" s="1"/>
    </row>
    <row r="659" spans="4:40" ht="12.75" customHeight="1" x14ac:dyDescent="0.15">
      <c r="D659" s="439" t="s">
        <v>177</v>
      </c>
      <c r="E659" s="440"/>
      <c r="F659" s="54">
        <f>G659+H659+I659</f>
        <v>161</v>
      </c>
      <c r="G659" s="55">
        <v>18</v>
      </c>
      <c r="H659" s="55">
        <v>26</v>
      </c>
      <c r="I659" s="56">
        <v>117</v>
      </c>
      <c r="J659" s="54">
        <f>K659+L659+M659</f>
        <v>46</v>
      </c>
      <c r="K659" s="55">
        <v>4</v>
      </c>
      <c r="L659" s="55">
        <v>13</v>
      </c>
      <c r="M659" s="56">
        <v>29</v>
      </c>
      <c r="N659" s="1"/>
      <c r="O659" s="1"/>
      <c r="P659" s="1"/>
      <c r="Q659" s="1"/>
      <c r="R659" s="1"/>
      <c r="S659" s="1"/>
      <c r="X659" s="439" t="s">
        <v>177</v>
      </c>
      <c r="Y659" s="440"/>
      <c r="Z659" s="54">
        <f>AA659+AB659+AC659</f>
        <v>166</v>
      </c>
      <c r="AA659" s="55">
        <v>13</v>
      </c>
      <c r="AB659" s="55">
        <v>52</v>
      </c>
      <c r="AC659" s="56">
        <v>101</v>
      </c>
      <c r="AD659" s="54">
        <f>AE659+AF659+AG659</f>
        <v>76</v>
      </c>
      <c r="AE659" s="55">
        <v>10</v>
      </c>
      <c r="AF659" s="55">
        <v>25</v>
      </c>
      <c r="AG659" s="56">
        <v>41</v>
      </c>
      <c r="AN659" s="1"/>
    </row>
    <row r="660" spans="4:40" ht="12.75" customHeight="1" x14ac:dyDescent="0.15">
      <c r="D660" s="441"/>
      <c r="E660" s="442"/>
      <c r="F660" s="58">
        <f t="shared" ref="F660:M660" si="166">ROUND(F659/(F$659+F$661+F$663+F$665),3)</f>
        <v>0.311</v>
      </c>
      <c r="G660" s="59">
        <f t="shared" si="166"/>
        <v>0.316</v>
      </c>
      <c r="H660" s="59">
        <f t="shared" si="166"/>
        <v>0.26800000000000002</v>
      </c>
      <c r="I660" s="60">
        <f t="shared" si="166"/>
        <v>0.32100000000000001</v>
      </c>
      <c r="J660" s="58">
        <f t="shared" si="166"/>
        <v>0.47899999999999998</v>
      </c>
      <c r="K660" s="59">
        <f t="shared" si="166"/>
        <v>0.5</v>
      </c>
      <c r="L660" s="59">
        <f t="shared" si="166"/>
        <v>0.40600000000000003</v>
      </c>
      <c r="M660" s="60">
        <f t="shared" si="166"/>
        <v>0.51800000000000002</v>
      </c>
      <c r="N660" s="1"/>
      <c r="O660" s="1"/>
      <c r="P660" s="1"/>
      <c r="Q660" s="1"/>
      <c r="R660" s="1"/>
      <c r="S660" s="1"/>
      <c r="X660" s="441"/>
      <c r="Y660" s="442"/>
      <c r="Z660" s="58">
        <f t="shared" ref="Z660:AG660" si="167">ROUND(Z659/(Z$659+Z$661+Z$663+Z$665),3)</f>
        <v>0.29899999999999999</v>
      </c>
      <c r="AA660" s="59">
        <f t="shared" si="167"/>
        <v>0.23599999999999999</v>
      </c>
      <c r="AB660" s="59">
        <f t="shared" si="167"/>
        <v>0.311</v>
      </c>
      <c r="AC660" s="60">
        <f t="shared" si="167"/>
        <v>0.30299999999999999</v>
      </c>
      <c r="AD660" s="58">
        <f t="shared" si="167"/>
        <v>0.48099999999999998</v>
      </c>
      <c r="AE660" s="59">
        <f t="shared" si="167"/>
        <v>0.5</v>
      </c>
      <c r="AF660" s="59">
        <f t="shared" si="167"/>
        <v>0.49</v>
      </c>
      <c r="AG660" s="60">
        <f t="shared" si="167"/>
        <v>0.47099999999999997</v>
      </c>
      <c r="AN660" s="1"/>
    </row>
    <row r="661" spans="4:40" ht="12.75" customHeight="1" x14ac:dyDescent="0.15">
      <c r="D661" s="487" t="s">
        <v>178</v>
      </c>
      <c r="E661" s="440"/>
      <c r="F661" s="54">
        <f>G661+H661+I661</f>
        <v>199</v>
      </c>
      <c r="G661" s="55">
        <v>19</v>
      </c>
      <c r="H661" s="55">
        <v>42</v>
      </c>
      <c r="I661" s="56">
        <v>138</v>
      </c>
      <c r="J661" s="54">
        <f>K661+L661+M661</f>
        <v>17</v>
      </c>
      <c r="K661" s="55">
        <v>3</v>
      </c>
      <c r="L661" s="55">
        <v>6</v>
      </c>
      <c r="M661" s="56">
        <v>8</v>
      </c>
      <c r="N661" s="1"/>
      <c r="O661" s="1"/>
      <c r="P661" s="1"/>
      <c r="Q661" s="1"/>
      <c r="R661" s="1"/>
      <c r="S661" s="1"/>
      <c r="X661" s="487" t="s">
        <v>178</v>
      </c>
      <c r="Y661" s="440"/>
      <c r="Z661" s="54">
        <f>AA661+AB661+AC661</f>
        <v>248</v>
      </c>
      <c r="AA661" s="55">
        <v>20</v>
      </c>
      <c r="AB661" s="55">
        <v>77</v>
      </c>
      <c r="AC661" s="56">
        <v>151</v>
      </c>
      <c r="AD661" s="54">
        <f>AE661+AF661+AG661</f>
        <v>32</v>
      </c>
      <c r="AE661" s="55">
        <v>7</v>
      </c>
      <c r="AF661" s="55">
        <v>7</v>
      </c>
      <c r="AG661" s="56">
        <v>18</v>
      </c>
      <c r="AN661" s="1"/>
    </row>
    <row r="662" spans="4:40" ht="12.75" customHeight="1" x14ac:dyDescent="0.15">
      <c r="D662" s="441"/>
      <c r="E662" s="442"/>
      <c r="F662" s="58">
        <f t="shared" ref="F662:M662" si="168">ROUND(F661/(F$659+F$661+F$663+F$665),3)</f>
        <v>0.38400000000000001</v>
      </c>
      <c r="G662" s="59">
        <f t="shared" si="168"/>
        <v>0.33300000000000002</v>
      </c>
      <c r="H662" s="59">
        <f t="shared" si="168"/>
        <v>0.433</v>
      </c>
      <c r="I662" s="60">
        <f t="shared" si="168"/>
        <v>0.379</v>
      </c>
      <c r="J662" s="58">
        <f t="shared" si="168"/>
        <v>0.17699999999999999</v>
      </c>
      <c r="K662" s="59">
        <f t="shared" si="168"/>
        <v>0.375</v>
      </c>
      <c r="L662" s="59">
        <f t="shared" si="168"/>
        <v>0.188</v>
      </c>
      <c r="M662" s="60">
        <f t="shared" si="168"/>
        <v>0.14299999999999999</v>
      </c>
      <c r="N662" s="1"/>
      <c r="O662" s="1"/>
      <c r="P662" s="1"/>
      <c r="Q662" s="1"/>
      <c r="R662" s="1"/>
      <c r="S662" s="1"/>
      <c r="T662" s="121"/>
      <c r="X662" s="441"/>
      <c r="Y662" s="442"/>
      <c r="Z662" s="58">
        <f>ROUND(Z661/(Z$659+Z$661+Z$663+Z$665),3)</f>
        <v>0.44700000000000001</v>
      </c>
      <c r="AA662" s="59">
        <f>ROUND(AA661/(AA$659+AA$661+AA$663+AA$665),3)</f>
        <v>0.36399999999999999</v>
      </c>
      <c r="AB662" s="59">
        <f>ROUND(AB661/(AB$659+AB$661+AB$663+AB$665),3)</f>
        <v>0.46100000000000002</v>
      </c>
      <c r="AC662" s="60">
        <f>ROUND(AC661/(AC$659+AC$661+AC$663+AC$665),3)+0.001</f>
        <v>0.45400000000000001</v>
      </c>
      <c r="AD662" s="58">
        <f>ROUND(AD661/(AD$659+AD$661+AD$663+AD$665),3)</f>
        <v>0.20300000000000001</v>
      </c>
      <c r="AE662" s="59">
        <f>ROUND(AE661/(AE$659+AE$661+AE$663+AE$665),3)</f>
        <v>0.35</v>
      </c>
      <c r="AF662" s="59">
        <f>ROUND(AF661/(AF$659+AF$661+AF$663+AF$665),3)</f>
        <v>0.13700000000000001</v>
      </c>
      <c r="AG662" s="60">
        <f>ROUND(AG661/(AG$659+AG$661+AG$663+AG$665),3)</f>
        <v>0.20699999999999999</v>
      </c>
      <c r="AN662" s="1"/>
    </row>
    <row r="663" spans="4:40" ht="12.75" customHeight="1" x14ac:dyDescent="0.15">
      <c r="D663" s="487" t="s">
        <v>179</v>
      </c>
      <c r="E663" s="440"/>
      <c r="F663" s="54">
        <f>G663+H663+I663</f>
        <v>108</v>
      </c>
      <c r="G663" s="55">
        <v>7</v>
      </c>
      <c r="H663" s="55">
        <v>18</v>
      </c>
      <c r="I663" s="56">
        <v>83</v>
      </c>
      <c r="J663" s="54">
        <f>K663+L663+M663</f>
        <v>14</v>
      </c>
      <c r="K663" s="55">
        <v>0</v>
      </c>
      <c r="L663" s="55">
        <v>7</v>
      </c>
      <c r="M663" s="56">
        <v>7</v>
      </c>
      <c r="N663" s="1"/>
      <c r="O663" s="1"/>
      <c r="P663" s="1"/>
      <c r="Q663" s="1"/>
      <c r="R663" s="1"/>
      <c r="S663" s="1"/>
      <c r="X663" s="487" t="s">
        <v>179</v>
      </c>
      <c r="Y663" s="440"/>
      <c r="Z663" s="54">
        <f>AA663+AB663+AC663</f>
        <v>91</v>
      </c>
      <c r="AA663" s="55">
        <v>11</v>
      </c>
      <c r="AB663" s="55">
        <v>25</v>
      </c>
      <c r="AC663" s="56">
        <v>55</v>
      </c>
      <c r="AD663" s="54">
        <f>AE663+AF663+AG663</f>
        <v>24</v>
      </c>
      <c r="AE663" s="55">
        <v>2</v>
      </c>
      <c r="AF663" s="55">
        <v>9</v>
      </c>
      <c r="AG663" s="56">
        <v>13</v>
      </c>
      <c r="AN663" s="1"/>
    </row>
    <row r="664" spans="4:40" ht="12.75" customHeight="1" x14ac:dyDescent="0.15">
      <c r="D664" s="441"/>
      <c r="E664" s="442"/>
      <c r="F664" s="58">
        <f t="shared" ref="F664:M664" si="169">ROUND(F663/(F$659+F$661+F$663+F$665),3)</f>
        <v>0.20799999999999999</v>
      </c>
      <c r="G664" s="59">
        <f t="shared" si="169"/>
        <v>0.123</v>
      </c>
      <c r="H664" s="59">
        <f t="shared" si="169"/>
        <v>0.186</v>
      </c>
      <c r="I664" s="60">
        <f t="shared" si="169"/>
        <v>0.22800000000000001</v>
      </c>
      <c r="J664" s="58">
        <f t="shared" si="169"/>
        <v>0.14599999999999999</v>
      </c>
      <c r="K664" s="59">
        <f t="shared" si="169"/>
        <v>0</v>
      </c>
      <c r="L664" s="59">
        <f t="shared" si="169"/>
        <v>0.219</v>
      </c>
      <c r="M664" s="60">
        <f t="shared" si="169"/>
        <v>0.125</v>
      </c>
      <c r="N664" s="1"/>
      <c r="O664" s="1"/>
      <c r="P664" s="1"/>
      <c r="Q664" s="1"/>
      <c r="R664" s="1"/>
      <c r="S664" s="1"/>
      <c r="X664" s="441"/>
      <c r="Y664" s="442"/>
      <c r="Z664" s="58">
        <f t="shared" ref="Z664:AE664" si="170">ROUND(Z663/(Z$659+Z$661+Z$663+Z$665),3)</f>
        <v>0.16400000000000001</v>
      </c>
      <c r="AA664" s="59">
        <f t="shared" si="170"/>
        <v>0.2</v>
      </c>
      <c r="AB664" s="59">
        <f t="shared" si="170"/>
        <v>0.15</v>
      </c>
      <c r="AC664" s="60">
        <f t="shared" si="170"/>
        <v>0.16500000000000001</v>
      </c>
      <c r="AD664" s="58">
        <f t="shared" si="170"/>
        <v>0.152</v>
      </c>
      <c r="AE664" s="59">
        <f t="shared" si="170"/>
        <v>0.1</v>
      </c>
      <c r="AF664" s="59">
        <f>ROUND(AF663/(AF$659+AF$661+AF$663+AF$665),3)+0.001</f>
        <v>0.17699999999999999</v>
      </c>
      <c r="AG664" s="60">
        <f>ROUND(AG663/(AG$659+AG$661+AG$663+AG$665),3)+0.001</f>
        <v>0.15</v>
      </c>
      <c r="AN664" s="1"/>
    </row>
    <row r="665" spans="4:40" ht="12.75" customHeight="1" x14ac:dyDescent="0.15">
      <c r="D665" s="487" t="s">
        <v>180</v>
      </c>
      <c r="E665" s="440"/>
      <c r="F665" s="54">
        <f>G665+H665+I665</f>
        <v>50</v>
      </c>
      <c r="G665" s="55">
        <v>13</v>
      </c>
      <c r="H665" s="55">
        <v>11</v>
      </c>
      <c r="I665" s="56">
        <v>26</v>
      </c>
      <c r="J665" s="54">
        <f>K665+L665+M665</f>
        <v>19</v>
      </c>
      <c r="K665" s="55">
        <v>1</v>
      </c>
      <c r="L665" s="55">
        <v>6</v>
      </c>
      <c r="M665" s="56">
        <v>12</v>
      </c>
      <c r="N665" s="1"/>
      <c r="O665" s="1"/>
      <c r="P665" s="1"/>
      <c r="Q665" s="1"/>
      <c r="R665" s="1"/>
      <c r="S665" s="1"/>
      <c r="X665" s="487" t="s">
        <v>180</v>
      </c>
      <c r="Y665" s="440"/>
      <c r="Z665" s="54">
        <f>AA665+AB665+AC665</f>
        <v>50</v>
      </c>
      <c r="AA665" s="55">
        <v>11</v>
      </c>
      <c r="AB665" s="55">
        <v>13</v>
      </c>
      <c r="AC665" s="56">
        <v>26</v>
      </c>
      <c r="AD665" s="54">
        <f>AE665+AF665+AG665</f>
        <v>26</v>
      </c>
      <c r="AE665" s="55">
        <v>1</v>
      </c>
      <c r="AF665" s="55">
        <v>10</v>
      </c>
      <c r="AG665" s="56">
        <v>15</v>
      </c>
      <c r="AN665" s="1"/>
    </row>
    <row r="666" spans="4:40" ht="12.75" customHeight="1" x14ac:dyDescent="0.15">
      <c r="D666" s="441"/>
      <c r="E666" s="442"/>
      <c r="F666" s="58">
        <f t="shared" ref="F666:M666" si="171">ROUND(F665/(F$659+F$661+F$663+F$665),3)</f>
        <v>9.7000000000000003E-2</v>
      </c>
      <c r="G666" s="59">
        <f t="shared" si="171"/>
        <v>0.22800000000000001</v>
      </c>
      <c r="H666" s="59">
        <f t="shared" si="171"/>
        <v>0.113</v>
      </c>
      <c r="I666" s="60">
        <f t="shared" si="171"/>
        <v>7.0999999999999994E-2</v>
      </c>
      <c r="J666" s="58">
        <f t="shared" si="171"/>
        <v>0.19800000000000001</v>
      </c>
      <c r="K666" s="59">
        <f t="shared" si="171"/>
        <v>0.125</v>
      </c>
      <c r="L666" s="59">
        <f t="shared" si="171"/>
        <v>0.188</v>
      </c>
      <c r="M666" s="60">
        <f t="shared" si="171"/>
        <v>0.214</v>
      </c>
      <c r="N666" s="1"/>
      <c r="O666" s="1"/>
      <c r="P666" s="1"/>
      <c r="Q666" s="1"/>
      <c r="R666" s="1"/>
      <c r="S666" s="1"/>
      <c r="X666" s="441"/>
      <c r="Y666" s="442"/>
      <c r="Z666" s="58">
        <f>ROUND(Z665/(Z$659+Z$661+Z$663+Z$665),3)</f>
        <v>0.09</v>
      </c>
      <c r="AA666" s="59">
        <f>ROUND(AA665/(AA$659+AA$661+AA$663+AA$665),3)</f>
        <v>0.2</v>
      </c>
      <c r="AB666" s="59">
        <f>ROUND(AB665/(AB$659+AB$661+AB$663+AB$665),3)</f>
        <v>7.8E-2</v>
      </c>
      <c r="AC666" s="60">
        <f>ROUND(AC665/(AC$659+AC$661+AC$663+AC$665),3)</f>
        <v>7.8E-2</v>
      </c>
      <c r="AD666" s="58">
        <f>ROUND(AD665/(AD$659+AD$661+AD$663+AD$665),3)-0.001</f>
        <v>0.16400000000000001</v>
      </c>
      <c r="AE666" s="59">
        <f>ROUND(AE665/(AE$659+AE$661+AE$663+AE$665),3)</f>
        <v>0.05</v>
      </c>
      <c r="AF666" s="59">
        <f>ROUND(AF665/(AF$659+AF$661+AF$663+AF$665),3)</f>
        <v>0.19600000000000001</v>
      </c>
      <c r="AG666" s="60">
        <f>ROUND(AG665/(AG$659+AG$661+AG$663+AG$665),3)</f>
        <v>0.17199999999999999</v>
      </c>
      <c r="AN666" s="1"/>
    </row>
    <row r="667" spans="4:40" ht="12.75" customHeight="1" x14ac:dyDescent="0.15">
      <c r="D667" s="449" t="s">
        <v>53</v>
      </c>
      <c r="E667" s="426"/>
      <c r="F667" s="54">
        <f t="shared" ref="F667:M668" si="172">F659+F661+F663+F665</f>
        <v>518</v>
      </c>
      <c r="G667" s="55">
        <f t="shared" si="172"/>
        <v>57</v>
      </c>
      <c r="H667" s="55">
        <f t="shared" si="172"/>
        <v>97</v>
      </c>
      <c r="I667" s="56">
        <f t="shared" si="172"/>
        <v>364</v>
      </c>
      <c r="J667" s="54">
        <f t="shared" si="172"/>
        <v>96</v>
      </c>
      <c r="K667" s="55">
        <f t="shared" si="172"/>
        <v>8</v>
      </c>
      <c r="L667" s="55">
        <f t="shared" si="172"/>
        <v>32</v>
      </c>
      <c r="M667" s="56">
        <f t="shared" si="172"/>
        <v>56</v>
      </c>
      <c r="N667" s="1"/>
      <c r="O667" s="1"/>
      <c r="P667" s="1"/>
      <c r="Q667" s="1"/>
      <c r="R667" s="1"/>
      <c r="S667" s="1"/>
      <c r="X667" s="449" t="s">
        <v>53</v>
      </c>
      <c r="Y667" s="426"/>
      <c r="Z667" s="54">
        <f t="shared" ref="Z667:AG668" si="173">Z659+Z661+Z663+Z665</f>
        <v>555</v>
      </c>
      <c r="AA667" s="55">
        <f t="shared" si="173"/>
        <v>55</v>
      </c>
      <c r="AB667" s="55">
        <f t="shared" si="173"/>
        <v>167</v>
      </c>
      <c r="AC667" s="56">
        <f t="shared" si="173"/>
        <v>333</v>
      </c>
      <c r="AD667" s="54">
        <f t="shared" si="173"/>
        <v>158</v>
      </c>
      <c r="AE667" s="55">
        <f t="shared" si="173"/>
        <v>20</v>
      </c>
      <c r="AF667" s="55">
        <f t="shared" si="173"/>
        <v>51</v>
      </c>
      <c r="AG667" s="56">
        <f t="shared" si="173"/>
        <v>87</v>
      </c>
      <c r="AN667" s="1"/>
    </row>
    <row r="668" spans="4:40" ht="12.75" customHeight="1" thickBot="1" x14ac:dyDescent="0.2">
      <c r="D668" s="449"/>
      <c r="E668" s="426"/>
      <c r="F668" s="65">
        <f t="shared" si="172"/>
        <v>1</v>
      </c>
      <c r="G668" s="66">
        <f t="shared" si="172"/>
        <v>1</v>
      </c>
      <c r="H668" s="66">
        <f t="shared" si="172"/>
        <v>1</v>
      </c>
      <c r="I668" s="67">
        <f t="shared" si="172"/>
        <v>0.99899999999999989</v>
      </c>
      <c r="J668" s="65">
        <f t="shared" si="172"/>
        <v>1</v>
      </c>
      <c r="K668" s="66">
        <f t="shared" si="172"/>
        <v>1</v>
      </c>
      <c r="L668" s="66">
        <f t="shared" si="172"/>
        <v>1.0010000000000001</v>
      </c>
      <c r="M668" s="67">
        <f t="shared" si="172"/>
        <v>1</v>
      </c>
      <c r="N668" s="1"/>
      <c r="O668" s="1"/>
      <c r="P668" s="1"/>
      <c r="Q668" s="1"/>
      <c r="R668" s="1"/>
      <c r="S668" s="1"/>
      <c r="X668" s="449"/>
      <c r="Y668" s="426"/>
      <c r="Z668" s="122">
        <f t="shared" si="173"/>
        <v>1</v>
      </c>
      <c r="AA668" s="123">
        <f t="shared" si="173"/>
        <v>1</v>
      </c>
      <c r="AB668" s="123">
        <f t="shared" si="173"/>
        <v>1</v>
      </c>
      <c r="AC668" s="124">
        <f t="shared" si="173"/>
        <v>1</v>
      </c>
      <c r="AD668" s="122">
        <f t="shared" si="173"/>
        <v>1</v>
      </c>
      <c r="AE668" s="123">
        <f t="shared" si="173"/>
        <v>1</v>
      </c>
      <c r="AF668" s="123">
        <f t="shared" si="173"/>
        <v>1</v>
      </c>
      <c r="AG668" s="124">
        <f t="shared" si="173"/>
        <v>1</v>
      </c>
      <c r="AN668" s="1"/>
    </row>
    <row r="669" spans="4:40" ht="12.75" customHeight="1" x14ac:dyDescent="0.15">
      <c r="D669" s="100"/>
      <c r="E669" s="100"/>
      <c r="F669" s="78"/>
      <c r="G669" s="78"/>
      <c r="H669" s="78"/>
      <c r="I669" s="78"/>
      <c r="J669" s="78"/>
      <c r="K669" s="78"/>
      <c r="L669" s="78"/>
      <c r="M669" s="78"/>
      <c r="N669" s="78"/>
      <c r="O669" s="78"/>
      <c r="P669" s="78"/>
      <c r="Q669" s="78"/>
      <c r="R669" s="72"/>
      <c r="S669" s="72"/>
      <c r="T669" s="121"/>
      <c r="U669" s="131"/>
      <c r="V669" s="46"/>
      <c r="W669" s="2"/>
    </row>
    <row r="670" spans="4:40" ht="12.75" customHeight="1" x14ac:dyDescent="0.15">
      <c r="D670" s="100"/>
      <c r="E670" s="100"/>
      <c r="F670" s="78"/>
      <c r="G670" s="78"/>
      <c r="H670" s="78"/>
      <c r="I670" s="78"/>
      <c r="J670" s="78"/>
      <c r="K670" s="78"/>
      <c r="L670" s="78"/>
      <c r="M670" s="78"/>
      <c r="N670" s="78"/>
      <c r="O670" s="78"/>
      <c r="P670" s="78"/>
      <c r="Q670" s="78"/>
      <c r="R670" s="72"/>
      <c r="S670" s="72"/>
      <c r="T670" s="46"/>
      <c r="U670" s="47"/>
      <c r="V670" s="46"/>
      <c r="W670" s="2"/>
    </row>
    <row r="671" spans="4:40" ht="12.75" customHeight="1" x14ac:dyDescent="0.15">
      <c r="D671" s="100"/>
      <c r="E671" s="100"/>
      <c r="F671" s="78"/>
      <c r="G671" s="78"/>
      <c r="H671" s="78"/>
      <c r="I671" s="78"/>
      <c r="J671" s="78"/>
      <c r="K671" s="78"/>
      <c r="L671" s="78"/>
      <c r="M671" s="78"/>
      <c r="N671" s="78"/>
      <c r="O671" s="78"/>
      <c r="P671" s="78"/>
      <c r="Q671" s="78"/>
      <c r="R671" s="72"/>
      <c r="S671" s="72"/>
      <c r="T671" s="46"/>
      <c r="U671" s="47"/>
      <c r="V671" s="46"/>
      <c r="W671" s="2"/>
    </row>
    <row r="672" spans="4:40" ht="12.75" customHeight="1" x14ac:dyDescent="0.15">
      <c r="D672" s="100"/>
      <c r="E672" s="100"/>
      <c r="F672" s="78"/>
      <c r="G672" s="78"/>
      <c r="H672" s="78"/>
      <c r="I672" s="78"/>
      <c r="J672" s="78"/>
      <c r="K672" s="78"/>
      <c r="L672" s="78"/>
      <c r="M672" s="78"/>
      <c r="N672" s="78"/>
      <c r="O672" s="78"/>
      <c r="P672" s="78"/>
      <c r="Q672" s="78"/>
      <c r="R672" s="72"/>
      <c r="S672" s="72"/>
      <c r="T672" s="46"/>
      <c r="U672" s="47"/>
      <c r="V672" s="46"/>
      <c r="W672" s="2"/>
    </row>
    <row r="673" spans="1:40" ht="12.75" customHeight="1" x14ac:dyDescent="0.15">
      <c r="D673" s="100"/>
      <c r="E673" s="100"/>
      <c r="F673" s="78"/>
      <c r="G673" s="78"/>
      <c r="H673" s="78"/>
      <c r="I673" s="78"/>
      <c r="J673" s="78"/>
      <c r="K673" s="78"/>
      <c r="L673" s="78"/>
      <c r="M673" s="78"/>
      <c r="N673" s="78"/>
      <c r="O673" s="78"/>
      <c r="P673" s="78"/>
      <c r="Q673" s="78"/>
      <c r="R673" s="72"/>
      <c r="S673" s="72"/>
      <c r="T673" s="46"/>
      <c r="U673" s="47"/>
      <c r="V673" s="46"/>
      <c r="W673" s="2"/>
    </row>
    <row r="674" spans="1:40" ht="12.75" customHeight="1" x14ac:dyDescent="0.15">
      <c r="D674" s="100"/>
      <c r="E674" s="100"/>
      <c r="F674" s="78"/>
      <c r="G674" s="78"/>
      <c r="H674" s="78"/>
      <c r="I674" s="78"/>
      <c r="J674" s="78"/>
      <c r="K674" s="78"/>
      <c r="L674" s="78"/>
      <c r="M674" s="78"/>
      <c r="N674" s="78"/>
      <c r="O674" s="78"/>
      <c r="P674" s="78"/>
      <c r="Q674" s="78"/>
      <c r="R674" s="72"/>
      <c r="S674" s="72"/>
      <c r="T674" s="46"/>
      <c r="U674" s="47"/>
      <c r="V674" s="46"/>
      <c r="W674" s="2"/>
    </row>
    <row r="675" spans="1:40" ht="12.75" customHeight="1" x14ac:dyDescent="0.15">
      <c r="D675" s="100"/>
      <c r="E675" s="100"/>
      <c r="F675" s="78"/>
      <c r="G675" s="78"/>
      <c r="H675" s="78"/>
      <c r="I675" s="78"/>
      <c r="J675" s="78"/>
      <c r="K675" s="78"/>
      <c r="L675" s="78"/>
      <c r="M675" s="78"/>
      <c r="N675" s="78"/>
      <c r="O675" s="78"/>
      <c r="P675" s="78"/>
      <c r="Q675" s="78"/>
      <c r="R675" s="72"/>
      <c r="S675" s="72"/>
      <c r="T675" s="46"/>
      <c r="U675" s="47"/>
      <c r="V675" s="46"/>
      <c r="W675" s="2"/>
    </row>
    <row r="676" spans="1:40" ht="12.75" customHeight="1" x14ac:dyDescent="0.15">
      <c r="D676" s="100"/>
      <c r="E676" s="100"/>
      <c r="F676" s="78"/>
      <c r="G676" s="78"/>
      <c r="H676" s="78"/>
      <c r="I676" s="78"/>
      <c r="J676" s="78"/>
      <c r="K676" s="78"/>
      <c r="L676" s="78"/>
      <c r="M676" s="78"/>
      <c r="N676" s="78"/>
      <c r="O676" s="78"/>
      <c r="P676" s="78"/>
      <c r="Q676" s="78"/>
      <c r="R676" s="72"/>
      <c r="S676" s="72"/>
      <c r="T676" s="46"/>
      <c r="U676" s="47"/>
      <c r="V676" s="46"/>
      <c r="W676" s="2"/>
    </row>
    <row r="677" spans="1:40" ht="12.75" customHeight="1" x14ac:dyDescent="0.15">
      <c r="D677" s="100"/>
      <c r="E677" s="100"/>
      <c r="F677" s="78"/>
      <c r="G677" s="78"/>
      <c r="H677" s="78"/>
      <c r="I677" s="78"/>
      <c r="J677" s="78"/>
      <c r="K677" s="78"/>
      <c r="L677" s="78"/>
      <c r="M677" s="78"/>
      <c r="N677" s="78"/>
      <c r="O677" s="78"/>
      <c r="P677" s="78"/>
      <c r="Q677" s="78"/>
      <c r="R677" s="72"/>
      <c r="S677" s="72"/>
      <c r="T677" s="46"/>
      <c r="U677" s="47"/>
      <c r="V677" s="46"/>
      <c r="W677" s="2"/>
    </row>
    <row r="678" spans="1:40" ht="12.75" customHeight="1" x14ac:dyDescent="0.15">
      <c r="D678" s="100"/>
      <c r="E678" s="100"/>
      <c r="F678" s="78"/>
      <c r="G678" s="78"/>
      <c r="H678" s="78"/>
      <c r="I678" s="78"/>
      <c r="J678" s="78"/>
      <c r="K678" s="78"/>
      <c r="L678" s="78"/>
      <c r="M678" s="78"/>
      <c r="N678" s="78"/>
      <c r="O678" s="78"/>
      <c r="P678" s="78"/>
      <c r="Q678" s="78"/>
      <c r="R678" s="72"/>
      <c r="S678" s="72"/>
      <c r="T678" s="46"/>
      <c r="U678" s="47"/>
      <c r="V678" s="46"/>
      <c r="W678" s="2"/>
    </row>
    <row r="679" spans="1:40" ht="12.75" customHeight="1" x14ac:dyDescent="0.15">
      <c r="D679" s="100"/>
      <c r="E679" s="100"/>
      <c r="F679" s="78"/>
      <c r="G679" s="78"/>
      <c r="H679" s="78"/>
      <c r="I679" s="78"/>
      <c r="J679" s="78"/>
      <c r="K679" s="78"/>
      <c r="L679" s="78"/>
      <c r="M679" s="78"/>
      <c r="N679" s="78"/>
      <c r="O679" s="78"/>
      <c r="P679" s="78"/>
      <c r="Q679" s="78"/>
      <c r="R679" s="72"/>
      <c r="S679" s="72"/>
      <c r="T679" s="46"/>
      <c r="U679" s="47"/>
      <c r="V679" s="46"/>
      <c r="W679" s="2"/>
    </row>
    <row r="680" spans="1:40" ht="12.75" customHeight="1" x14ac:dyDescent="0.15">
      <c r="D680" s="100"/>
      <c r="E680" s="100"/>
      <c r="F680" s="78"/>
      <c r="G680" s="78"/>
      <c r="H680" s="78"/>
      <c r="I680" s="78"/>
      <c r="J680" s="78"/>
      <c r="K680" s="78"/>
      <c r="L680" s="78"/>
      <c r="M680" s="78"/>
      <c r="N680" s="78"/>
      <c r="O680" s="78"/>
      <c r="P680" s="78"/>
      <c r="Q680" s="78"/>
      <c r="R680" s="72"/>
      <c r="S680" s="72"/>
      <c r="T680" s="46"/>
      <c r="U680" s="47"/>
      <c r="V680" s="46"/>
      <c r="W680" s="2"/>
    </row>
    <row r="681" spans="1:40" ht="12.75" customHeight="1" x14ac:dyDescent="0.15">
      <c r="D681" s="100"/>
      <c r="E681" s="100"/>
      <c r="F681" s="78"/>
      <c r="G681" s="78"/>
      <c r="H681" s="78"/>
      <c r="I681" s="78"/>
      <c r="J681" s="78"/>
      <c r="K681" s="78"/>
      <c r="L681" s="78"/>
      <c r="M681" s="78"/>
      <c r="N681" s="78"/>
      <c r="O681" s="78"/>
      <c r="P681" s="78"/>
      <c r="Q681" s="78"/>
      <c r="R681" s="72"/>
      <c r="S681" s="72"/>
      <c r="T681" s="46"/>
      <c r="U681" s="47"/>
      <c r="V681" s="46"/>
      <c r="W681" s="2"/>
    </row>
    <row r="682" spans="1:40" ht="12.75" customHeight="1" x14ac:dyDescent="0.15">
      <c r="D682" s="100"/>
      <c r="E682" s="100"/>
      <c r="F682" s="78"/>
      <c r="G682" s="78"/>
      <c r="H682" s="78"/>
      <c r="I682" s="78"/>
      <c r="J682" s="78"/>
      <c r="K682" s="78"/>
      <c r="L682" s="78"/>
      <c r="M682" s="78"/>
      <c r="N682" s="78"/>
      <c r="O682" s="78"/>
      <c r="P682" s="78"/>
      <c r="Q682" s="78"/>
      <c r="R682" s="72"/>
      <c r="S682" s="72"/>
      <c r="T682" s="46"/>
      <c r="U682" s="47"/>
      <c r="V682" s="46"/>
      <c r="W682" s="2"/>
    </row>
    <row r="683" spans="1:40" ht="12.75" customHeight="1" x14ac:dyDescent="0.15">
      <c r="D683" s="100"/>
      <c r="E683" s="100"/>
      <c r="F683" s="78"/>
      <c r="G683" s="78"/>
      <c r="H683" s="78"/>
      <c r="I683" s="78"/>
      <c r="J683" s="78"/>
      <c r="K683" s="78"/>
      <c r="L683" s="78"/>
      <c r="M683" s="78"/>
      <c r="N683" s="78"/>
      <c r="O683" s="78"/>
      <c r="P683" s="78"/>
      <c r="Q683" s="78"/>
      <c r="R683" s="72"/>
      <c r="S683" s="72"/>
      <c r="T683" s="46"/>
      <c r="U683" s="47"/>
      <c r="V683" s="46"/>
      <c r="W683" s="2"/>
    </row>
    <row r="684" spans="1:40" ht="12.75" customHeight="1" x14ac:dyDescent="0.15">
      <c r="D684" s="100"/>
      <c r="E684" s="100"/>
      <c r="F684" s="78"/>
      <c r="G684" s="78"/>
      <c r="H684" s="78"/>
      <c r="I684" s="78"/>
      <c r="J684" s="78"/>
      <c r="K684" s="78"/>
      <c r="L684" s="78"/>
      <c r="M684" s="78"/>
      <c r="N684" s="78"/>
      <c r="O684" s="78"/>
      <c r="P684" s="78"/>
      <c r="Q684" s="78"/>
      <c r="R684" s="72"/>
      <c r="S684" s="72"/>
      <c r="T684" s="46"/>
      <c r="U684" s="47"/>
      <c r="V684" s="46"/>
      <c r="W684" s="2"/>
    </row>
    <row r="685" spans="1:40" ht="12.75" customHeight="1" x14ac:dyDescent="0.15">
      <c r="D685" s="100"/>
      <c r="E685" s="100"/>
      <c r="F685" s="78"/>
      <c r="G685" s="78"/>
      <c r="H685" s="78"/>
      <c r="I685" s="78"/>
      <c r="J685" s="78"/>
      <c r="K685" s="78"/>
      <c r="L685" s="78"/>
      <c r="M685" s="78"/>
      <c r="N685" s="78"/>
      <c r="O685" s="78"/>
      <c r="P685" s="78"/>
      <c r="Q685" s="78"/>
      <c r="R685" s="72"/>
      <c r="S685" s="72"/>
      <c r="T685" s="46"/>
      <c r="U685" s="47"/>
      <c r="V685" s="46"/>
      <c r="W685" s="2"/>
    </row>
    <row r="686" spans="1:40" ht="12.75" customHeight="1" x14ac:dyDescent="0.15">
      <c r="D686" s="100"/>
      <c r="E686" s="100"/>
      <c r="F686" s="78"/>
      <c r="G686" s="78"/>
      <c r="H686" s="78"/>
      <c r="I686" s="78"/>
      <c r="J686" s="78"/>
      <c r="K686" s="78"/>
      <c r="L686" s="78"/>
      <c r="M686" s="78"/>
      <c r="N686" s="78"/>
      <c r="O686" s="78"/>
      <c r="P686" s="78"/>
      <c r="Q686" s="78"/>
      <c r="R686" s="72"/>
      <c r="S686" s="72"/>
      <c r="T686" s="46"/>
      <c r="U686" s="47"/>
      <c r="V686" s="46"/>
      <c r="W686" s="2"/>
    </row>
    <row r="687" spans="1:40" ht="12.75" customHeight="1" x14ac:dyDescent="0.15">
      <c r="D687" s="100"/>
      <c r="E687" s="100"/>
      <c r="F687" s="78"/>
      <c r="G687" s="78"/>
      <c r="H687" s="78"/>
      <c r="I687" s="78"/>
      <c r="J687" s="78"/>
      <c r="K687" s="78"/>
      <c r="L687" s="78"/>
      <c r="M687" s="78"/>
      <c r="N687" s="78"/>
      <c r="O687" s="78"/>
      <c r="P687" s="78"/>
      <c r="Q687" s="78"/>
      <c r="R687" s="72"/>
      <c r="S687" s="72"/>
      <c r="T687" s="46"/>
      <c r="U687" s="47"/>
      <c r="V687" s="46"/>
      <c r="W687" s="2"/>
    </row>
    <row r="688" spans="1:40" ht="12.75" customHeight="1" x14ac:dyDescent="0.15">
      <c r="A688" s="488" t="s">
        <v>181</v>
      </c>
      <c r="B688" s="488"/>
      <c r="C688" s="488"/>
      <c r="D688" s="488"/>
      <c r="E688" s="488"/>
      <c r="F688" s="488"/>
      <c r="G688" s="488"/>
      <c r="H688" s="78"/>
      <c r="I688" s="78"/>
      <c r="J688" s="78"/>
      <c r="K688" s="78"/>
      <c r="L688" s="78"/>
      <c r="M688" s="78"/>
      <c r="N688" s="78"/>
      <c r="O688" s="78"/>
      <c r="P688" s="78"/>
      <c r="Q688" s="72"/>
      <c r="R688" s="46"/>
      <c r="S688" s="46"/>
      <c r="T688" s="2"/>
      <c r="U688" s="13"/>
      <c r="V688" s="2"/>
      <c r="AM688" s="5"/>
      <c r="AN688" s="1"/>
    </row>
    <row r="689" spans="2:40" ht="12.75" customHeight="1" x14ac:dyDescent="0.15">
      <c r="D689" s="100"/>
      <c r="E689" s="100"/>
      <c r="F689" s="78"/>
      <c r="G689" s="78"/>
      <c r="H689" s="78"/>
      <c r="I689" s="78"/>
      <c r="J689" s="78"/>
      <c r="K689" s="78"/>
      <c r="L689" s="78"/>
      <c r="M689" s="78"/>
      <c r="N689" s="78"/>
      <c r="O689" s="78"/>
      <c r="P689" s="78"/>
      <c r="Q689" s="78"/>
      <c r="R689" s="72"/>
      <c r="S689" s="72"/>
      <c r="T689" s="46"/>
      <c r="U689" s="47"/>
      <c r="V689" s="46"/>
      <c r="W689" s="2"/>
    </row>
    <row r="690" spans="2:40" ht="12.75" customHeight="1" thickBot="1" x14ac:dyDescent="0.2">
      <c r="B690" s="10" t="s">
        <v>182</v>
      </c>
      <c r="G690" s="112"/>
      <c r="K690" s="52"/>
      <c r="O690" s="52"/>
    </row>
    <row r="691" spans="2:40" ht="12.75" customHeight="1" x14ac:dyDescent="0.15">
      <c r="D691" s="399"/>
      <c r="E691" s="386"/>
      <c r="F691" s="444" t="s">
        <v>26</v>
      </c>
      <c r="G691" s="455"/>
      <c r="H691" s="455"/>
      <c r="I691" s="456"/>
      <c r="J691" s="467" t="s">
        <v>27</v>
      </c>
      <c r="K691" s="451"/>
      <c r="L691" s="451"/>
      <c r="M691" s="452"/>
      <c r="N691" s="476" t="s">
        <v>28</v>
      </c>
      <c r="O691" s="449"/>
      <c r="P691" s="449"/>
      <c r="Q691" s="449"/>
      <c r="R691" s="1"/>
      <c r="S691" s="1"/>
      <c r="U691" s="1"/>
      <c r="Y691" s="4"/>
      <c r="AJ691" s="5"/>
      <c r="AN691" s="1"/>
    </row>
    <row r="692" spans="2:40" ht="12.75" customHeight="1" x14ac:dyDescent="0.15">
      <c r="D692" s="400"/>
      <c r="E692" s="443"/>
      <c r="F692" s="371"/>
      <c r="G692" s="364" t="s">
        <v>29</v>
      </c>
      <c r="H692" s="364" t="s">
        <v>30</v>
      </c>
      <c r="I692" s="374" t="s">
        <v>31</v>
      </c>
      <c r="J692" s="14"/>
      <c r="K692" s="15" t="s">
        <v>29</v>
      </c>
      <c r="L692" s="15" t="s">
        <v>30</v>
      </c>
      <c r="M692" s="375" t="s">
        <v>31</v>
      </c>
      <c r="N692" s="372"/>
      <c r="O692" s="364" t="s">
        <v>29</v>
      </c>
      <c r="P692" s="364" t="s">
        <v>30</v>
      </c>
      <c r="Q692" s="375" t="s">
        <v>31</v>
      </c>
      <c r="R692" s="1"/>
      <c r="S692" s="1"/>
      <c r="U692" s="1"/>
      <c r="Y692" s="4"/>
      <c r="AJ692" s="5"/>
      <c r="AN692" s="1"/>
    </row>
    <row r="693" spans="2:40" ht="12.75" customHeight="1" x14ac:dyDescent="0.15">
      <c r="D693" s="439" t="s">
        <v>183</v>
      </c>
      <c r="E693" s="440"/>
      <c r="F693" s="54">
        <f>G693+H693+I693</f>
        <v>469</v>
      </c>
      <c r="G693" s="55">
        <v>61</v>
      </c>
      <c r="H693" s="55">
        <v>56</v>
      </c>
      <c r="I693" s="56">
        <v>352</v>
      </c>
      <c r="J693" s="54">
        <f>K693+L693+M693</f>
        <v>455</v>
      </c>
      <c r="K693" s="55">
        <v>54</v>
      </c>
      <c r="L693" s="55">
        <v>66</v>
      </c>
      <c r="M693" s="55">
        <v>335</v>
      </c>
      <c r="N693" s="55">
        <f>O693+P693+Q693</f>
        <v>486</v>
      </c>
      <c r="O693" s="55">
        <v>68</v>
      </c>
      <c r="P693" s="55">
        <v>70</v>
      </c>
      <c r="Q693" s="55">
        <v>348</v>
      </c>
      <c r="R693" s="1"/>
      <c r="S693" s="1"/>
      <c r="U693" s="1"/>
      <c r="Y693" s="4"/>
      <c r="AJ693" s="5"/>
      <c r="AN693" s="1"/>
    </row>
    <row r="694" spans="2:40" ht="12.75" customHeight="1" x14ac:dyDescent="0.15">
      <c r="D694" s="441"/>
      <c r="E694" s="442"/>
      <c r="F694" s="58">
        <f t="shared" ref="F694:Q694" si="174">ROUND(F693/(F$693+F$695),3)</f>
        <v>0.77</v>
      </c>
      <c r="G694" s="59">
        <f t="shared" si="174"/>
        <v>0.93799999999999994</v>
      </c>
      <c r="H694" s="59">
        <f t="shared" si="174"/>
        <v>0.441</v>
      </c>
      <c r="I694" s="60">
        <f t="shared" si="174"/>
        <v>0.84399999999999997</v>
      </c>
      <c r="J694" s="58">
        <f t="shared" si="174"/>
        <v>0.68899999999999995</v>
      </c>
      <c r="K694" s="59">
        <f t="shared" si="174"/>
        <v>0.91500000000000004</v>
      </c>
      <c r="L694" s="59">
        <f t="shared" si="174"/>
        <v>0.35899999999999999</v>
      </c>
      <c r="M694" s="59">
        <f t="shared" si="174"/>
        <v>0.80300000000000005</v>
      </c>
      <c r="N694" s="59">
        <f t="shared" si="174"/>
        <v>0.69599999999999995</v>
      </c>
      <c r="O694" s="59">
        <f t="shared" si="174"/>
        <v>0.93200000000000005</v>
      </c>
      <c r="P694" s="59">
        <f t="shared" si="174"/>
        <v>0.32400000000000001</v>
      </c>
      <c r="Q694" s="59">
        <f t="shared" si="174"/>
        <v>0.85099999999999998</v>
      </c>
      <c r="R694" s="1"/>
      <c r="S694" s="1"/>
      <c r="U694" s="1"/>
      <c r="Y694" s="4"/>
      <c r="AJ694" s="5"/>
      <c r="AN694" s="1"/>
    </row>
    <row r="695" spans="2:40" ht="12.75" customHeight="1" x14ac:dyDescent="0.15">
      <c r="D695" s="439" t="s">
        <v>184</v>
      </c>
      <c r="E695" s="440"/>
      <c r="F695" s="54">
        <f>G695+H695+I695</f>
        <v>140</v>
      </c>
      <c r="G695" s="55">
        <v>4</v>
      </c>
      <c r="H695" s="55">
        <v>71</v>
      </c>
      <c r="I695" s="56">
        <v>65</v>
      </c>
      <c r="J695" s="54">
        <f>K695+L695+M695</f>
        <v>205</v>
      </c>
      <c r="K695" s="55">
        <v>5</v>
      </c>
      <c r="L695" s="55">
        <v>118</v>
      </c>
      <c r="M695" s="55">
        <v>82</v>
      </c>
      <c r="N695" s="55">
        <f>O695+P695+Q695</f>
        <v>212</v>
      </c>
      <c r="O695" s="55">
        <v>5</v>
      </c>
      <c r="P695" s="55">
        <v>146</v>
      </c>
      <c r="Q695" s="55">
        <v>61</v>
      </c>
      <c r="R695" s="1"/>
      <c r="S695" s="1"/>
      <c r="U695" s="1"/>
      <c r="Y695" s="4"/>
      <c r="AJ695" s="5"/>
      <c r="AN695" s="1"/>
    </row>
    <row r="696" spans="2:40" ht="12.75" customHeight="1" x14ac:dyDescent="0.15">
      <c r="D696" s="441"/>
      <c r="E696" s="442"/>
      <c r="F696" s="58">
        <f t="shared" ref="F696:Q696" si="175">ROUND(F695/(F$693+F$695),3)</f>
        <v>0.23</v>
      </c>
      <c r="G696" s="59">
        <f t="shared" si="175"/>
        <v>6.2E-2</v>
      </c>
      <c r="H696" s="59">
        <f t="shared" si="175"/>
        <v>0.55900000000000005</v>
      </c>
      <c r="I696" s="60">
        <f t="shared" si="175"/>
        <v>0.156</v>
      </c>
      <c r="J696" s="58">
        <f t="shared" si="175"/>
        <v>0.311</v>
      </c>
      <c r="K696" s="59">
        <f t="shared" si="175"/>
        <v>8.5000000000000006E-2</v>
      </c>
      <c r="L696" s="59">
        <f t="shared" si="175"/>
        <v>0.64100000000000001</v>
      </c>
      <c r="M696" s="59">
        <f t="shared" si="175"/>
        <v>0.19700000000000001</v>
      </c>
      <c r="N696" s="59">
        <f t="shared" si="175"/>
        <v>0.30399999999999999</v>
      </c>
      <c r="O696" s="59">
        <f t="shared" si="175"/>
        <v>6.8000000000000005E-2</v>
      </c>
      <c r="P696" s="59">
        <f t="shared" si="175"/>
        <v>0.67600000000000005</v>
      </c>
      <c r="Q696" s="59">
        <f t="shared" si="175"/>
        <v>0.14899999999999999</v>
      </c>
      <c r="R696" s="1"/>
      <c r="S696" s="1"/>
      <c r="U696" s="1"/>
      <c r="Y696" s="4"/>
      <c r="AJ696" s="5"/>
      <c r="AN696" s="1"/>
    </row>
    <row r="697" spans="2:40" ht="12.75" customHeight="1" x14ac:dyDescent="0.15">
      <c r="D697" s="449" t="s">
        <v>53</v>
      </c>
      <c r="E697" s="426"/>
      <c r="F697" s="54">
        <f t="shared" ref="F697:Q698" si="176">F693+F695</f>
        <v>609</v>
      </c>
      <c r="G697" s="55">
        <f t="shared" si="176"/>
        <v>65</v>
      </c>
      <c r="H697" s="55">
        <f t="shared" si="176"/>
        <v>127</v>
      </c>
      <c r="I697" s="56">
        <f t="shared" si="176"/>
        <v>417</v>
      </c>
      <c r="J697" s="54">
        <f t="shared" si="176"/>
        <v>660</v>
      </c>
      <c r="K697" s="55">
        <f t="shared" si="176"/>
        <v>59</v>
      </c>
      <c r="L697" s="55">
        <f t="shared" si="176"/>
        <v>184</v>
      </c>
      <c r="M697" s="55">
        <f t="shared" si="176"/>
        <v>417</v>
      </c>
      <c r="N697" s="55">
        <f t="shared" si="176"/>
        <v>698</v>
      </c>
      <c r="O697" s="55">
        <f t="shared" si="176"/>
        <v>73</v>
      </c>
      <c r="P697" s="55">
        <f t="shared" si="176"/>
        <v>216</v>
      </c>
      <c r="Q697" s="55">
        <f t="shared" si="176"/>
        <v>409</v>
      </c>
      <c r="R697" s="1"/>
      <c r="S697" s="1"/>
      <c r="U697" s="1"/>
      <c r="Y697" s="4"/>
      <c r="AJ697" s="5"/>
      <c r="AN697" s="1"/>
    </row>
    <row r="698" spans="2:40" ht="12.75" customHeight="1" thickBot="1" x14ac:dyDescent="0.2">
      <c r="D698" s="449"/>
      <c r="E698" s="426"/>
      <c r="F698" s="65">
        <f t="shared" si="176"/>
        <v>1</v>
      </c>
      <c r="G698" s="66">
        <f t="shared" si="176"/>
        <v>1</v>
      </c>
      <c r="H698" s="66">
        <f t="shared" si="176"/>
        <v>1</v>
      </c>
      <c r="I698" s="67">
        <f t="shared" si="176"/>
        <v>1</v>
      </c>
      <c r="J698" s="68">
        <f t="shared" si="176"/>
        <v>1</v>
      </c>
      <c r="K698" s="69">
        <f t="shared" si="176"/>
        <v>1</v>
      </c>
      <c r="L698" s="69">
        <f t="shared" si="176"/>
        <v>1</v>
      </c>
      <c r="M698" s="69">
        <f t="shared" si="176"/>
        <v>1</v>
      </c>
      <c r="N698" s="69">
        <f t="shared" si="176"/>
        <v>1</v>
      </c>
      <c r="O698" s="69">
        <f t="shared" si="176"/>
        <v>1</v>
      </c>
      <c r="P698" s="69">
        <f t="shared" si="176"/>
        <v>1</v>
      </c>
      <c r="Q698" s="69">
        <f t="shared" si="176"/>
        <v>1</v>
      </c>
      <c r="R698" s="1"/>
      <c r="S698" s="1"/>
      <c r="U698" s="1"/>
      <c r="Y698" s="4"/>
      <c r="AJ698" s="5"/>
      <c r="AN698" s="1"/>
    </row>
    <row r="699" spans="2:40" ht="12.75" customHeight="1" x14ac:dyDescent="0.15">
      <c r="D699" s="100"/>
      <c r="E699" s="100"/>
      <c r="F699" s="78"/>
      <c r="G699" s="78"/>
      <c r="H699" s="78"/>
      <c r="I699" s="78"/>
      <c r="J699" s="72"/>
      <c r="K699" s="46"/>
      <c r="N699" s="1"/>
      <c r="O699" s="1"/>
      <c r="P699" s="1"/>
      <c r="Q699" s="1"/>
      <c r="R699" s="1"/>
      <c r="S699" s="1"/>
      <c r="W699" s="105"/>
      <c r="X699" s="105"/>
      <c r="Y699" s="105"/>
      <c r="Z699" s="105"/>
      <c r="AA699" s="105"/>
      <c r="AB699" s="105"/>
      <c r="AC699" s="105"/>
      <c r="AD699" s="105"/>
      <c r="AE699" s="105"/>
      <c r="AF699" s="132"/>
      <c r="AG699" s="105"/>
      <c r="AH699" s="105"/>
      <c r="AN699" s="1"/>
    </row>
    <row r="700" spans="2:40" ht="12.75" customHeight="1" x14ac:dyDescent="0.15">
      <c r="D700" s="100"/>
      <c r="E700" s="100"/>
      <c r="F700" s="78"/>
      <c r="G700" s="78"/>
      <c r="H700" s="78"/>
      <c r="I700" s="78"/>
      <c r="J700" s="72"/>
      <c r="K700" s="46"/>
      <c r="N700" s="1"/>
      <c r="O700" s="1"/>
      <c r="P700" s="1"/>
      <c r="Q700" s="1"/>
      <c r="R700" s="1"/>
      <c r="S700" s="1"/>
      <c r="W700" s="105"/>
      <c r="X700" s="105"/>
      <c r="Y700" s="105"/>
      <c r="Z700" s="105"/>
      <c r="AA700" s="105"/>
      <c r="AB700" s="105"/>
      <c r="AC700" s="105"/>
      <c r="AD700" s="105"/>
      <c r="AE700" s="105"/>
      <c r="AF700" s="132"/>
      <c r="AG700" s="105"/>
      <c r="AH700" s="105"/>
      <c r="AN700" s="1"/>
    </row>
    <row r="701" spans="2:40" ht="9.75" customHeight="1" x14ac:dyDescent="0.15">
      <c r="D701" s="100"/>
      <c r="E701" s="100"/>
      <c r="F701" s="90"/>
      <c r="G701" s="90"/>
      <c r="H701" s="90"/>
      <c r="I701" s="90"/>
      <c r="J701" s="78"/>
      <c r="K701" s="78"/>
      <c r="L701" s="78"/>
      <c r="M701" s="78"/>
      <c r="N701" s="78"/>
      <c r="O701" s="78"/>
      <c r="P701" s="78"/>
      <c r="Q701" s="78"/>
      <c r="R701" s="72"/>
      <c r="S701" s="72"/>
      <c r="T701" s="46"/>
      <c r="U701" s="47"/>
      <c r="V701" s="46"/>
      <c r="W701" s="52"/>
      <c r="X701" s="105"/>
      <c r="Y701" s="105"/>
      <c r="Z701" s="105"/>
      <c r="AA701" s="105"/>
      <c r="AB701" s="105"/>
      <c r="AC701" s="105"/>
      <c r="AD701" s="105"/>
      <c r="AE701" s="105"/>
      <c r="AF701" s="105"/>
      <c r="AG701" s="105"/>
      <c r="AH701" s="105"/>
    </row>
    <row r="702" spans="2:40" ht="12.75" customHeight="1" thickBot="1" x14ac:dyDescent="0.2">
      <c r="B702" s="10" t="s">
        <v>185</v>
      </c>
      <c r="G702" s="11"/>
      <c r="K702" s="52"/>
      <c r="O702" s="52"/>
      <c r="W702" s="105"/>
      <c r="X702" s="105"/>
      <c r="Y702" s="105"/>
      <c r="Z702" s="105"/>
      <c r="AA702" s="105"/>
      <c r="AB702" s="105"/>
      <c r="AC702" s="105"/>
      <c r="AD702" s="105"/>
      <c r="AE702" s="105"/>
      <c r="AF702" s="105"/>
      <c r="AG702" s="105"/>
      <c r="AH702" s="105"/>
    </row>
    <row r="703" spans="2:40" ht="12.75" customHeight="1" x14ac:dyDescent="0.15">
      <c r="D703" s="91"/>
      <c r="E703" s="92"/>
      <c r="F703" s="92"/>
      <c r="G703" s="444" t="s">
        <v>26</v>
      </c>
      <c r="H703" s="455"/>
      <c r="I703" s="455"/>
      <c r="J703" s="456"/>
      <c r="K703" s="467" t="s">
        <v>27</v>
      </c>
      <c r="L703" s="451"/>
      <c r="M703" s="451"/>
      <c r="N703" s="452"/>
      <c r="O703" s="476" t="s">
        <v>28</v>
      </c>
      <c r="P703" s="476"/>
      <c r="Q703" s="476"/>
      <c r="R703" s="476"/>
      <c r="S703" s="1"/>
      <c r="U703" s="1"/>
      <c r="Y703" s="4"/>
      <c r="AA703" s="105"/>
      <c r="AB703" s="105"/>
      <c r="AC703" s="105"/>
      <c r="AD703" s="48"/>
      <c r="AE703" s="48"/>
      <c r="AF703" s="48"/>
      <c r="AG703" s="422"/>
      <c r="AH703" s="422"/>
      <c r="AI703" s="422"/>
      <c r="AJ703" s="422"/>
      <c r="AK703" s="422"/>
      <c r="AL703" s="422"/>
      <c r="AN703" s="1"/>
    </row>
    <row r="704" spans="2:40" ht="12.75" customHeight="1" x14ac:dyDescent="0.15">
      <c r="D704" s="93"/>
      <c r="E704" s="94"/>
      <c r="F704" s="94"/>
      <c r="G704" s="371"/>
      <c r="H704" s="364" t="s">
        <v>29</v>
      </c>
      <c r="I704" s="364" t="s">
        <v>30</v>
      </c>
      <c r="J704" s="374" t="s">
        <v>31</v>
      </c>
      <c r="K704" s="14"/>
      <c r="L704" s="15" t="s">
        <v>29</v>
      </c>
      <c r="M704" s="15" t="s">
        <v>30</v>
      </c>
      <c r="N704" s="375" t="s">
        <v>31</v>
      </c>
      <c r="O704" s="372"/>
      <c r="P704" s="364" t="s">
        <v>29</v>
      </c>
      <c r="Q704" s="364" t="s">
        <v>30</v>
      </c>
      <c r="R704" s="375" t="s">
        <v>31</v>
      </c>
      <c r="S704" s="1"/>
      <c r="U704" s="1"/>
      <c r="Y704" s="4"/>
      <c r="AA704" s="105"/>
      <c r="AB704" s="105"/>
      <c r="AC704" s="105"/>
      <c r="AD704" s="100"/>
      <c r="AE704" s="100"/>
      <c r="AF704" s="100"/>
      <c r="AG704" s="100"/>
      <c r="AH704" s="100"/>
      <c r="AI704" s="100"/>
      <c r="AJ704" s="101"/>
      <c r="AK704" s="101"/>
      <c r="AL704" s="101"/>
      <c r="AN704" s="1"/>
    </row>
    <row r="705" spans="4:40" ht="12.75" customHeight="1" x14ac:dyDescent="0.15">
      <c r="D705" s="457" t="s">
        <v>186</v>
      </c>
      <c r="E705" s="401"/>
      <c r="F705" s="401"/>
      <c r="G705" s="54">
        <f>H705+I705+J705</f>
        <v>80</v>
      </c>
      <c r="H705" s="55">
        <v>1</v>
      </c>
      <c r="I705" s="55">
        <v>44</v>
      </c>
      <c r="J705" s="56">
        <v>35</v>
      </c>
      <c r="K705" s="54">
        <f>L705+M705+N705</f>
        <v>106</v>
      </c>
      <c r="L705" s="55">
        <f>0+1+0</f>
        <v>1</v>
      </c>
      <c r="M705" s="55">
        <f>31+24+14</f>
        <v>69</v>
      </c>
      <c r="N705" s="55">
        <f>21+8+7</f>
        <v>36</v>
      </c>
      <c r="O705" s="55">
        <f>P705+Q705+R705</f>
        <v>120</v>
      </c>
      <c r="P705" s="55">
        <v>1</v>
      </c>
      <c r="Q705" s="55">
        <v>91</v>
      </c>
      <c r="R705" s="55">
        <v>28</v>
      </c>
      <c r="S705" s="1"/>
      <c r="U705" s="1"/>
      <c r="X705" s="121"/>
      <c r="Y705" s="4"/>
      <c r="AA705" s="105"/>
      <c r="AB705" s="105"/>
      <c r="AC705" s="105"/>
      <c r="AD705" s="477"/>
      <c r="AE705" s="477"/>
      <c r="AF705" s="477"/>
      <c r="AG705" s="478"/>
      <c r="AH705" s="478"/>
      <c r="AI705" s="102"/>
      <c r="AJ705" s="102"/>
      <c r="AK705" s="102"/>
      <c r="AL705" s="102"/>
      <c r="AN705" s="1"/>
    </row>
    <row r="706" spans="4:40" ht="12.75" customHeight="1" x14ac:dyDescent="0.15">
      <c r="D706" s="459"/>
      <c r="E706" s="403"/>
      <c r="F706" s="403"/>
      <c r="G706" s="58">
        <f t="shared" ref="G706:R706" si="177">ROUND(G705/(G$705++G$707+G$711+G$709+G$713+G$715+G$717+G$719+G$721),3)</f>
        <v>0.21299999999999999</v>
      </c>
      <c r="H706" s="59">
        <f t="shared" si="177"/>
        <v>0.16700000000000001</v>
      </c>
      <c r="I706" s="59">
        <f t="shared" si="177"/>
        <v>0.218</v>
      </c>
      <c r="J706" s="60">
        <f t="shared" si="177"/>
        <v>0.21</v>
      </c>
      <c r="K706" s="58">
        <f t="shared" si="177"/>
        <v>0.2</v>
      </c>
      <c r="L706" s="59">
        <f t="shared" si="177"/>
        <v>7.6999999999999999E-2</v>
      </c>
      <c r="M706" s="59">
        <f t="shared" si="177"/>
        <v>0.216</v>
      </c>
      <c r="N706" s="59">
        <f t="shared" si="177"/>
        <v>0.182</v>
      </c>
      <c r="O706" s="59">
        <f t="shared" si="177"/>
        <v>0.22</v>
      </c>
      <c r="P706" s="59">
        <f t="shared" si="177"/>
        <v>9.0999999999999998E-2</v>
      </c>
      <c r="Q706" s="59">
        <f t="shared" si="177"/>
        <v>0.23400000000000001</v>
      </c>
      <c r="R706" s="59">
        <f t="shared" si="177"/>
        <v>0.193</v>
      </c>
      <c r="T706" s="2"/>
      <c r="U706" s="1"/>
      <c r="Y706" s="4"/>
      <c r="AA706" s="105"/>
      <c r="AB706" s="105"/>
      <c r="AC706" s="105"/>
      <c r="AD706" s="477"/>
      <c r="AE706" s="477"/>
      <c r="AF706" s="477"/>
      <c r="AG706" s="478"/>
      <c r="AH706" s="478"/>
      <c r="AI706" s="78"/>
      <c r="AJ706" s="78"/>
      <c r="AK706" s="78"/>
      <c r="AL706" s="78"/>
      <c r="AN706" s="1"/>
    </row>
    <row r="707" spans="4:40" ht="12.75" customHeight="1" x14ac:dyDescent="0.15">
      <c r="D707" s="457" t="s">
        <v>187</v>
      </c>
      <c r="E707" s="401"/>
      <c r="F707" s="401"/>
      <c r="G707" s="54">
        <f>H707+I707+J707</f>
        <v>57</v>
      </c>
      <c r="H707" s="55">
        <v>1</v>
      </c>
      <c r="I707" s="55">
        <v>33</v>
      </c>
      <c r="J707" s="56">
        <v>23</v>
      </c>
      <c r="K707" s="54">
        <f>L707+M707+N707</f>
        <v>93</v>
      </c>
      <c r="L707" s="55">
        <f>1+1+0</f>
        <v>2</v>
      </c>
      <c r="M707" s="55">
        <f>20+16+26</f>
        <v>62</v>
      </c>
      <c r="N707" s="55">
        <f>6+11+12</f>
        <v>29</v>
      </c>
      <c r="O707" s="55">
        <f>P707+Q707+R707</f>
        <v>89</v>
      </c>
      <c r="P707" s="55">
        <v>2</v>
      </c>
      <c r="Q707" s="55">
        <v>70</v>
      </c>
      <c r="R707" s="55">
        <v>17</v>
      </c>
      <c r="T707" s="2"/>
      <c r="U707" s="1"/>
      <c r="X707" s="121"/>
      <c r="Y707" s="4"/>
      <c r="AA707" s="105"/>
      <c r="AB707" s="105"/>
      <c r="AC707" s="105"/>
      <c r="AD707" s="477"/>
      <c r="AE707" s="477"/>
      <c r="AF707" s="477"/>
      <c r="AG707" s="478"/>
      <c r="AH707" s="478"/>
      <c r="AI707" s="102"/>
      <c r="AJ707" s="102"/>
      <c r="AK707" s="102"/>
      <c r="AL707" s="102"/>
      <c r="AN707" s="1"/>
    </row>
    <row r="708" spans="4:40" ht="12.75" customHeight="1" x14ac:dyDescent="0.15">
      <c r="D708" s="459"/>
      <c r="E708" s="403"/>
      <c r="F708" s="403"/>
      <c r="G708" s="58">
        <f t="shared" ref="G708" si="178">ROUND(G707/(G$705++G$707+G$711+G$709+G$713+G$715+G$717+G$719+G$721),3)</f>
        <v>0.152</v>
      </c>
      <c r="H708" s="59">
        <f>ROUND(H707/(H$705++H$707+H$711+H$709+H$713+H$715+H$717+H$719+H$721),3)</f>
        <v>0.16700000000000001</v>
      </c>
      <c r="I708" s="59">
        <f t="shared" ref="I708:R708" si="179">ROUND(I707/(I$705++I$707+I$711+I$709+I$713+I$715+I$717+I$719+I$721),3)</f>
        <v>0.16300000000000001</v>
      </c>
      <c r="J708" s="60">
        <f t="shared" si="179"/>
        <v>0.13800000000000001</v>
      </c>
      <c r="K708" s="58">
        <f t="shared" si="179"/>
        <v>0.17499999999999999</v>
      </c>
      <c r="L708" s="59">
        <f t="shared" si="179"/>
        <v>0.154</v>
      </c>
      <c r="M708" s="59">
        <f t="shared" si="179"/>
        <v>0.19400000000000001</v>
      </c>
      <c r="N708" s="59">
        <f t="shared" si="179"/>
        <v>0.14599999999999999</v>
      </c>
      <c r="O708" s="59">
        <f t="shared" si="179"/>
        <v>0.16300000000000001</v>
      </c>
      <c r="P708" s="59">
        <f t="shared" si="179"/>
        <v>0.182</v>
      </c>
      <c r="Q708" s="59">
        <f t="shared" si="179"/>
        <v>0.18</v>
      </c>
      <c r="R708" s="59">
        <f t="shared" si="179"/>
        <v>0.11700000000000001</v>
      </c>
      <c r="T708" s="2"/>
      <c r="U708" s="1"/>
      <c r="X708" s="121"/>
      <c r="Y708" s="4"/>
      <c r="AA708" s="105"/>
      <c r="AB708" s="105"/>
      <c r="AC708" s="105"/>
      <c r="AD708" s="477"/>
      <c r="AE708" s="477"/>
      <c r="AF708" s="477"/>
      <c r="AG708" s="478"/>
      <c r="AH708" s="478"/>
      <c r="AI708" s="78"/>
      <c r="AJ708" s="78"/>
      <c r="AK708" s="78"/>
      <c r="AL708" s="78"/>
      <c r="AN708" s="1"/>
    </row>
    <row r="709" spans="4:40" ht="12.75" customHeight="1" x14ac:dyDescent="0.15">
      <c r="D709" s="457" t="s">
        <v>188</v>
      </c>
      <c r="E709" s="401"/>
      <c r="F709" s="401"/>
      <c r="G709" s="54">
        <f>H709+I709+J709</f>
        <v>53</v>
      </c>
      <c r="H709" s="55">
        <v>1</v>
      </c>
      <c r="I709" s="55">
        <v>36</v>
      </c>
      <c r="J709" s="56">
        <v>16</v>
      </c>
      <c r="K709" s="54">
        <f>L709+M709+N709</f>
        <v>81</v>
      </c>
      <c r="L709" s="55">
        <f>1+1+1</f>
        <v>3</v>
      </c>
      <c r="M709" s="55">
        <f>12+16+23</f>
        <v>51</v>
      </c>
      <c r="N709" s="55">
        <f>9+8+10</f>
        <v>27</v>
      </c>
      <c r="O709" s="55">
        <f>P709+Q709+R709</f>
        <v>78</v>
      </c>
      <c r="P709" s="55">
        <v>2</v>
      </c>
      <c r="Q709" s="55">
        <v>57</v>
      </c>
      <c r="R709" s="55">
        <v>19</v>
      </c>
      <c r="T709" s="2"/>
      <c r="U709" s="1"/>
      <c r="X709" s="133"/>
      <c r="Y709" s="4"/>
      <c r="AA709" s="105"/>
      <c r="AB709" s="105"/>
      <c r="AC709" s="105"/>
      <c r="AD709" s="477"/>
      <c r="AE709" s="477"/>
      <c r="AF709" s="477"/>
      <c r="AG709" s="478"/>
      <c r="AH709" s="478"/>
      <c r="AI709" s="102"/>
      <c r="AJ709" s="102"/>
      <c r="AK709" s="102"/>
      <c r="AL709" s="102"/>
      <c r="AN709" s="1"/>
    </row>
    <row r="710" spans="4:40" ht="12.75" customHeight="1" x14ac:dyDescent="0.15">
      <c r="D710" s="459"/>
      <c r="E710" s="403"/>
      <c r="F710" s="403"/>
      <c r="G710" s="58">
        <f t="shared" ref="G710:P710" si="180">ROUND(G709/(G$705++G$707+G$711+G$709+G$713+G$715+G$717+G$719+G$721),3)</f>
        <v>0.14099999999999999</v>
      </c>
      <c r="H710" s="59">
        <f t="shared" si="180"/>
        <v>0.16700000000000001</v>
      </c>
      <c r="I710" s="59">
        <f t="shared" si="180"/>
        <v>0.17799999999999999</v>
      </c>
      <c r="J710" s="60">
        <f t="shared" si="180"/>
        <v>9.6000000000000002E-2</v>
      </c>
      <c r="K710" s="58">
        <f t="shared" si="180"/>
        <v>0.153</v>
      </c>
      <c r="L710" s="59">
        <f t="shared" si="180"/>
        <v>0.23100000000000001</v>
      </c>
      <c r="M710" s="59">
        <f t="shared" si="180"/>
        <v>0.16</v>
      </c>
      <c r="N710" s="59">
        <f t="shared" si="180"/>
        <v>0.13600000000000001</v>
      </c>
      <c r="O710" s="59">
        <f t="shared" si="180"/>
        <v>0.14299999999999999</v>
      </c>
      <c r="P710" s="59">
        <f t="shared" si="180"/>
        <v>0.182</v>
      </c>
      <c r="Q710" s="59">
        <f>ROUND(Q709/(Q$705++Q$707+Q$711+Q$709+Q$713+Q$715+Q$717+Q$719+Q$721),3)-0.001</f>
        <v>0.14599999999999999</v>
      </c>
      <c r="R710" s="59">
        <f>ROUND(R709/(R$705++R$707+R$711+R$709+R$713+R$715+R$717+R$719+R$721),3)</f>
        <v>0.13100000000000001</v>
      </c>
      <c r="T710" s="2"/>
      <c r="U710" s="1"/>
      <c r="X710" s="121"/>
      <c r="Y710" s="4"/>
      <c r="AA710" s="105"/>
      <c r="AB710" s="105"/>
      <c r="AC710" s="105"/>
      <c r="AD710" s="477"/>
      <c r="AE710" s="477"/>
      <c r="AF710" s="477"/>
      <c r="AG710" s="478"/>
      <c r="AH710" s="478"/>
      <c r="AI710" s="78"/>
      <c r="AJ710" s="78"/>
      <c r="AK710" s="78"/>
      <c r="AL710" s="78"/>
      <c r="AN710" s="1"/>
    </row>
    <row r="711" spans="4:40" ht="12.75" customHeight="1" x14ac:dyDescent="0.15">
      <c r="D711" s="457" t="s">
        <v>189</v>
      </c>
      <c r="E711" s="401"/>
      <c r="F711" s="401"/>
      <c r="G711" s="54">
        <f>H711+I711+J711</f>
        <v>58</v>
      </c>
      <c r="H711" s="55">
        <v>0</v>
      </c>
      <c r="I711" s="55">
        <v>31</v>
      </c>
      <c r="J711" s="56">
        <v>27</v>
      </c>
      <c r="K711" s="54">
        <f>L711+M711+N711</f>
        <v>75</v>
      </c>
      <c r="L711" s="55">
        <f>1+1+0</f>
        <v>2</v>
      </c>
      <c r="M711" s="55">
        <f>24+13+6</f>
        <v>43</v>
      </c>
      <c r="N711" s="55">
        <f>19+8+3</f>
        <v>30</v>
      </c>
      <c r="O711" s="55">
        <f>P711+Q711+R711</f>
        <v>82</v>
      </c>
      <c r="P711" s="55">
        <v>1</v>
      </c>
      <c r="Q711" s="55">
        <v>54</v>
      </c>
      <c r="R711" s="55">
        <v>27</v>
      </c>
      <c r="T711" s="2"/>
      <c r="U711" s="1"/>
      <c r="X711" s="121"/>
      <c r="Y711" s="4"/>
      <c r="AA711" s="105"/>
      <c r="AB711" s="105"/>
      <c r="AC711" s="105"/>
      <c r="AD711" s="134"/>
      <c r="AE711" s="134"/>
      <c r="AF711" s="134"/>
      <c r="AG711" s="135"/>
      <c r="AH711" s="135"/>
      <c r="AI711" s="78"/>
      <c r="AJ711" s="78"/>
      <c r="AK711" s="78"/>
      <c r="AL711" s="78"/>
      <c r="AN711" s="1"/>
    </row>
    <row r="712" spans="4:40" ht="12.75" customHeight="1" x14ac:dyDescent="0.15">
      <c r="D712" s="459"/>
      <c r="E712" s="403"/>
      <c r="F712" s="403"/>
      <c r="G712" s="58">
        <f t="shared" ref="G712:N712" si="181">ROUND(G711/(G$705++G$707+G$711+G$709+G$713+G$715+G$717+G$719+G$721),3)</f>
        <v>0.155</v>
      </c>
      <c r="H712" s="59">
        <f t="shared" si="181"/>
        <v>0</v>
      </c>
      <c r="I712" s="59">
        <f t="shared" si="181"/>
        <v>0.153</v>
      </c>
      <c r="J712" s="60">
        <f t="shared" si="181"/>
        <v>0.16200000000000001</v>
      </c>
      <c r="K712" s="58">
        <f t="shared" si="181"/>
        <v>0.14199999999999999</v>
      </c>
      <c r="L712" s="59">
        <f t="shared" si="181"/>
        <v>0.154</v>
      </c>
      <c r="M712" s="59">
        <f t="shared" si="181"/>
        <v>0.13500000000000001</v>
      </c>
      <c r="N712" s="59">
        <f t="shared" si="181"/>
        <v>0.152</v>
      </c>
      <c r="O712" s="59">
        <f>ROUND(O711/(O$705++O$707+O$711+O$709+O$713+O$715+O$717+O$719+O$721),3)+0.001</f>
        <v>0.151</v>
      </c>
      <c r="P712" s="59">
        <f>ROUND(P711/(P$705++P$707+P$711+P$709+P$713+P$715+P$717+P$719+P$721),3)</f>
        <v>9.0999999999999998E-2</v>
      </c>
      <c r="Q712" s="59">
        <f>ROUND(Q711/(Q$705++Q$707+Q$711+Q$709+Q$713+Q$715+Q$717+Q$719+Q$721),3)</f>
        <v>0.13900000000000001</v>
      </c>
      <c r="R712" s="59">
        <f>ROUND(R711/(R$705++R$707+R$711+R$709+R$713+R$715+R$717+R$719+R$721),3)</f>
        <v>0.186</v>
      </c>
      <c r="T712" s="2"/>
      <c r="U712" s="1"/>
      <c r="X712" s="121"/>
      <c r="Y712" s="4"/>
      <c r="AA712" s="105"/>
      <c r="AB712" s="105"/>
      <c r="AC712" s="105"/>
      <c r="AD712" s="134"/>
      <c r="AE712" s="134"/>
      <c r="AF712" s="134"/>
      <c r="AG712" s="135"/>
      <c r="AH712" s="135"/>
      <c r="AI712" s="78"/>
      <c r="AJ712" s="78"/>
      <c r="AK712" s="78"/>
      <c r="AL712" s="78"/>
      <c r="AN712" s="1"/>
    </row>
    <row r="713" spans="4:40" ht="12.75" customHeight="1" x14ac:dyDescent="0.15">
      <c r="D713" s="483" t="s">
        <v>190</v>
      </c>
      <c r="E713" s="484"/>
      <c r="F713" s="484"/>
      <c r="G713" s="54">
        <f>H713+I713+J713</f>
        <v>42</v>
      </c>
      <c r="H713" s="55">
        <v>0</v>
      </c>
      <c r="I713" s="55">
        <v>24</v>
      </c>
      <c r="J713" s="56">
        <v>18</v>
      </c>
      <c r="K713" s="54">
        <f>L713+M713+N713</f>
        <v>43</v>
      </c>
      <c r="L713" s="55">
        <f>0+0+1</f>
        <v>1</v>
      </c>
      <c r="M713" s="55">
        <f>6+13+10</f>
        <v>29</v>
      </c>
      <c r="N713" s="55">
        <f>2+5+6</f>
        <v>13</v>
      </c>
      <c r="O713" s="55">
        <f>P713+Q713+R713</f>
        <v>46</v>
      </c>
      <c r="P713" s="55">
        <v>1</v>
      </c>
      <c r="Q713" s="55">
        <v>30</v>
      </c>
      <c r="R713" s="55">
        <v>15</v>
      </c>
      <c r="T713" s="2"/>
      <c r="U713" s="1"/>
      <c r="Y713" s="96"/>
      <c r="AA713" s="105"/>
      <c r="AB713" s="105"/>
      <c r="AC713" s="105"/>
      <c r="AD713" s="477"/>
      <c r="AE713" s="477"/>
      <c r="AF713" s="477"/>
      <c r="AG713" s="478"/>
      <c r="AH713" s="478"/>
      <c r="AI713" s="102"/>
      <c r="AJ713" s="102"/>
      <c r="AK713" s="102"/>
      <c r="AL713" s="102"/>
      <c r="AN713" s="1"/>
    </row>
    <row r="714" spans="4:40" ht="12.75" customHeight="1" x14ac:dyDescent="0.15">
      <c r="D714" s="485"/>
      <c r="E714" s="486"/>
      <c r="F714" s="486"/>
      <c r="G714" s="58">
        <f t="shared" ref="G714:N714" si="182">ROUND(G713/(G$705++G$707+G$711+G$709+G$713+G$715+G$717+G$719+G$721),3)</f>
        <v>0.112</v>
      </c>
      <c r="H714" s="59">
        <f t="shared" si="182"/>
        <v>0</v>
      </c>
      <c r="I714" s="59">
        <f t="shared" si="182"/>
        <v>0.11899999999999999</v>
      </c>
      <c r="J714" s="60">
        <f t="shared" si="182"/>
        <v>0.108</v>
      </c>
      <c r="K714" s="58">
        <f t="shared" si="182"/>
        <v>8.1000000000000003E-2</v>
      </c>
      <c r="L714" s="59">
        <f t="shared" si="182"/>
        <v>7.6999999999999999E-2</v>
      </c>
      <c r="M714" s="59">
        <f t="shared" si="182"/>
        <v>9.0999999999999998E-2</v>
      </c>
      <c r="N714" s="59">
        <f t="shared" si="182"/>
        <v>6.6000000000000003E-2</v>
      </c>
      <c r="O714" s="59">
        <f>ROUND(O713/(O$705++O$707+O$711+O$709+O$713+O$715+O$717+O$719+O$721),3)+0.001</f>
        <v>8.5000000000000006E-2</v>
      </c>
      <c r="P714" s="59">
        <f>ROUND(P713/(P$705++P$707+P$711+P$709+P$713+P$715+P$717+P$719+P$721),3)</f>
        <v>9.0999999999999998E-2</v>
      </c>
      <c r="Q714" s="59">
        <f>ROUND(Q713/(Q$705++Q$707+Q$711+Q$709+Q$713+Q$715+Q$717+Q$719+Q$721),3)</f>
        <v>7.6999999999999999E-2</v>
      </c>
      <c r="R714" s="59">
        <f>ROUND(R713/(R$705++R$707+R$711+R$709+R$713+R$715+R$717+R$719+R$721),3)</f>
        <v>0.10299999999999999</v>
      </c>
      <c r="T714" s="2"/>
      <c r="U714" s="1"/>
      <c r="AA714" s="105"/>
      <c r="AB714" s="105"/>
      <c r="AC714" s="105"/>
      <c r="AD714" s="477"/>
      <c r="AE714" s="477"/>
      <c r="AF714" s="477"/>
      <c r="AG714" s="478"/>
      <c r="AH714" s="478"/>
      <c r="AI714" s="78"/>
      <c r="AJ714" s="78"/>
      <c r="AK714" s="78"/>
      <c r="AL714" s="78"/>
      <c r="AN714" s="1"/>
    </row>
    <row r="715" spans="4:40" ht="12.75" customHeight="1" x14ac:dyDescent="0.15">
      <c r="D715" s="479" t="s">
        <v>191</v>
      </c>
      <c r="E715" s="480"/>
      <c r="F715" s="480"/>
      <c r="G715" s="54">
        <f>H715+I715+J715</f>
        <v>25</v>
      </c>
      <c r="H715" s="55">
        <v>0</v>
      </c>
      <c r="I715" s="55">
        <v>15</v>
      </c>
      <c r="J715" s="56">
        <v>10</v>
      </c>
      <c r="K715" s="54">
        <f>L715+M715+N715</f>
        <v>40</v>
      </c>
      <c r="L715" s="55">
        <f>1+0+1</f>
        <v>2</v>
      </c>
      <c r="M715" s="55">
        <f>8+7+4</f>
        <v>19</v>
      </c>
      <c r="N715" s="55">
        <f>9+4+6</f>
        <v>19</v>
      </c>
      <c r="O715" s="55">
        <f>P715+Q715+R715</f>
        <v>42</v>
      </c>
      <c r="P715" s="55">
        <v>1</v>
      </c>
      <c r="Q715" s="55">
        <v>30</v>
      </c>
      <c r="R715" s="55">
        <v>11</v>
      </c>
      <c r="T715" s="2"/>
      <c r="U715" s="1"/>
      <c r="Z715" s="102"/>
      <c r="AA715" s="102"/>
      <c r="AB715" s="102"/>
      <c r="AC715" s="105"/>
      <c r="AD715" s="477"/>
      <c r="AE715" s="477"/>
      <c r="AF715" s="477"/>
      <c r="AG715" s="478"/>
      <c r="AH715" s="478"/>
      <c r="AI715" s="102"/>
      <c r="AJ715" s="102"/>
      <c r="AK715" s="102"/>
      <c r="AL715" s="102"/>
      <c r="AN715" s="1"/>
    </row>
    <row r="716" spans="4:40" ht="12.75" customHeight="1" x14ac:dyDescent="0.15">
      <c r="D716" s="481"/>
      <c r="E716" s="482"/>
      <c r="F716" s="482"/>
      <c r="G716" s="58">
        <f t="shared" ref="G716:R716" si="183">ROUND(G715/(G$705++G$707+G$711+G$709+G$713+G$715+G$717+G$719+G$721),3)</f>
        <v>6.7000000000000004E-2</v>
      </c>
      <c r="H716" s="59">
        <f t="shared" si="183"/>
        <v>0</v>
      </c>
      <c r="I716" s="59">
        <f t="shared" si="183"/>
        <v>7.3999999999999996E-2</v>
      </c>
      <c r="J716" s="60">
        <f t="shared" si="183"/>
        <v>0.06</v>
      </c>
      <c r="K716" s="58">
        <f t="shared" si="183"/>
        <v>7.4999999999999997E-2</v>
      </c>
      <c r="L716" s="59">
        <f t="shared" si="183"/>
        <v>0.154</v>
      </c>
      <c r="M716" s="59">
        <f t="shared" si="183"/>
        <v>0.06</v>
      </c>
      <c r="N716" s="59">
        <f t="shared" si="183"/>
        <v>9.6000000000000002E-2</v>
      </c>
      <c r="O716" s="59">
        <f t="shared" si="183"/>
        <v>7.6999999999999999E-2</v>
      </c>
      <c r="P716" s="59">
        <f t="shared" si="183"/>
        <v>9.0999999999999998E-2</v>
      </c>
      <c r="Q716" s="59">
        <f t="shared" si="183"/>
        <v>7.6999999999999999E-2</v>
      </c>
      <c r="R716" s="59">
        <f t="shared" si="183"/>
        <v>7.5999999999999998E-2</v>
      </c>
      <c r="S716" s="1"/>
      <c r="U716" s="1"/>
      <c r="Y716" s="4"/>
      <c r="AA716" s="105"/>
      <c r="AB716" s="105"/>
      <c r="AC716" s="105"/>
      <c r="AD716" s="477"/>
      <c r="AE716" s="477"/>
      <c r="AF716" s="477"/>
      <c r="AG716" s="478"/>
      <c r="AH716" s="478"/>
      <c r="AI716" s="78"/>
      <c r="AJ716" s="78"/>
      <c r="AK716" s="78"/>
      <c r="AL716" s="78"/>
      <c r="AN716" s="1"/>
    </row>
    <row r="717" spans="4:40" ht="12.75" customHeight="1" x14ac:dyDescent="0.15">
      <c r="D717" s="457" t="s">
        <v>192</v>
      </c>
      <c r="E717" s="401"/>
      <c r="F717" s="401"/>
      <c r="G717" s="54">
        <f>H717+I717+J717</f>
        <v>16</v>
      </c>
      <c r="H717" s="55">
        <v>0</v>
      </c>
      <c r="I717" s="55">
        <v>7</v>
      </c>
      <c r="J717" s="56">
        <v>9</v>
      </c>
      <c r="K717" s="54">
        <f>L717+M717+N717</f>
        <v>34</v>
      </c>
      <c r="L717" s="55">
        <f>0+0+0</f>
        <v>0</v>
      </c>
      <c r="M717" s="55">
        <f>2+10+8</f>
        <v>20</v>
      </c>
      <c r="N717" s="55">
        <f>2+9+3</f>
        <v>14</v>
      </c>
      <c r="O717" s="55">
        <f>P717+Q717+R717</f>
        <v>29</v>
      </c>
      <c r="P717" s="55">
        <v>1</v>
      </c>
      <c r="Q717" s="55">
        <v>19</v>
      </c>
      <c r="R717" s="55">
        <v>9</v>
      </c>
      <c r="S717" s="1"/>
      <c r="U717" s="1"/>
      <c r="Y717" s="4"/>
      <c r="AA717" s="105"/>
      <c r="AB717" s="105"/>
      <c r="AC717" s="105"/>
      <c r="AD717" s="477"/>
      <c r="AE717" s="477"/>
      <c r="AF717" s="477"/>
      <c r="AG717" s="478"/>
      <c r="AH717" s="478"/>
      <c r="AI717" s="102"/>
      <c r="AJ717" s="102"/>
      <c r="AK717" s="102"/>
      <c r="AL717" s="102"/>
      <c r="AN717" s="1"/>
    </row>
    <row r="718" spans="4:40" ht="12.75" customHeight="1" x14ac:dyDescent="0.15">
      <c r="D718" s="459"/>
      <c r="E718" s="403"/>
      <c r="F718" s="403"/>
      <c r="G718" s="58">
        <f t="shared" ref="G718:R718" si="184">ROUND(G717/(G$705++G$707+G$711+G$709+G$713+G$715+G$717+G$719+G$721),3)</f>
        <v>4.2999999999999997E-2</v>
      </c>
      <c r="H718" s="59">
        <f t="shared" si="184"/>
        <v>0</v>
      </c>
      <c r="I718" s="59">
        <f t="shared" si="184"/>
        <v>3.5000000000000003E-2</v>
      </c>
      <c r="J718" s="60">
        <f t="shared" si="184"/>
        <v>5.3999999999999999E-2</v>
      </c>
      <c r="K718" s="58">
        <f t="shared" si="184"/>
        <v>6.4000000000000001E-2</v>
      </c>
      <c r="L718" s="59">
        <f t="shared" si="184"/>
        <v>0</v>
      </c>
      <c r="M718" s="59">
        <f t="shared" si="184"/>
        <v>6.3E-2</v>
      </c>
      <c r="N718" s="59">
        <f t="shared" si="184"/>
        <v>7.0999999999999994E-2</v>
      </c>
      <c r="O718" s="59">
        <f t="shared" si="184"/>
        <v>5.2999999999999999E-2</v>
      </c>
      <c r="P718" s="59">
        <f t="shared" si="184"/>
        <v>9.0999999999999998E-2</v>
      </c>
      <c r="Q718" s="59">
        <f t="shared" si="184"/>
        <v>4.9000000000000002E-2</v>
      </c>
      <c r="R718" s="59">
        <f t="shared" si="184"/>
        <v>6.2E-2</v>
      </c>
      <c r="S718" s="1"/>
      <c r="U718" s="1"/>
      <c r="Y718" s="4"/>
      <c r="AA718" s="105"/>
      <c r="AB718" s="105"/>
      <c r="AC718" s="105"/>
      <c r="AD718" s="477"/>
      <c r="AE718" s="477"/>
      <c r="AF718" s="477"/>
      <c r="AG718" s="478"/>
      <c r="AH718" s="478"/>
      <c r="AI718" s="78"/>
      <c r="AJ718" s="78"/>
      <c r="AK718" s="78"/>
      <c r="AL718" s="78"/>
      <c r="AN718" s="1"/>
    </row>
    <row r="719" spans="4:40" ht="12.75" customHeight="1" x14ac:dyDescent="0.15">
      <c r="D719" s="479" t="s">
        <v>193</v>
      </c>
      <c r="E719" s="480"/>
      <c r="F719" s="480"/>
      <c r="G719" s="54">
        <f>H719+I719+J719</f>
        <v>17</v>
      </c>
      <c r="H719" s="55">
        <v>0</v>
      </c>
      <c r="I719" s="55">
        <v>3</v>
      </c>
      <c r="J719" s="56">
        <v>14</v>
      </c>
      <c r="K719" s="54">
        <f>L719+M719+N719</f>
        <v>20</v>
      </c>
      <c r="L719" s="55">
        <f>0+0+0</f>
        <v>0</v>
      </c>
      <c r="M719" s="55">
        <f>0+4+5</f>
        <v>9</v>
      </c>
      <c r="N719" s="55">
        <f>2+4+5</f>
        <v>11</v>
      </c>
      <c r="O719" s="55">
        <f>P719+Q719+R719</f>
        <v>10</v>
      </c>
      <c r="P719" s="55">
        <v>0</v>
      </c>
      <c r="Q719" s="55">
        <v>5</v>
      </c>
      <c r="R719" s="55">
        <v>5</v>
      </c>
      <c r="S719" s="1"/>
      <c r="U719" s="1"/>
      <c r="Y719" s="4"/>
      <c r="AA719" s="105"/>
      <c r="AB719" s="105"/>
      <c r="AC719" s="105"/>
      <c r="AD719" s="477"/>
      <c r="AE719" s="477"/>
      <c r="AF719" s="477"/>
      <c r="AG719" s="478"/>
      <c r="AH719" s="478"/>
      <c r="AI719" s="102"/>
      <c r="AJ719" s="102"/>
      <c r="AK719" s="102"/>
      <c r="AL719" s="102"/>
      <c r="AN719" s="1"/>
    </row>
    <row r="720" spans="4:40" ht="12.75" customHeight="1" x14ac:dyDescent="0.15">
      <c r="D720" s="481"/>
      <c r="E720" s="482"/>
      <c r="F720" s="482"/>
      <c r="G720" s="58">
        <f>ROUND(G719/(G$705++G$707+G$711+G$709+G$713+G$715+G$717+G$719+G$721),3)</f>
        <v>4.4999999999999998E-2</v>
      </c>
      <c r="H720" s="59">
        <f>ROUND(H719/(H$705++H$707+H$711+H$709+H$713+H$715+H$717+H$719+H$721),3)</f>
        <v>0</v>
      </c>
      <c r="I720" s="59">
        <f>ROUND(I719/(I$705++I$707+I$711+I$709+I$713+I$715+I$717+I$719+I$721),3)</f>
        <v>1.4999999999999999E-2</v>
      </c>
      <c r="J720" s="60">
        <f>ROUND(J719/(J$705++J$707+J$711+J$709+J$713+J$715+J$717+J$719+J$721),3)+0.001</f>
        <v>8.5000000000000006E-2</v>
      </c>
      <c r="K720" s="58">
        <f>ROUND(K719/(K$705++K$707+K$711+K$709+K$713+K$715+K$717+K$719+K$721),3)</f>
        <v>3.7999999999999999E-2</v>
      </c>
      <c r="L720" s="59">
        <f>ROUND(L719/(L$705++L$707+L$711+L$709+L$713+L$715+L$717+L$719+L$721),3)</f>
        <v>0</v>
      </c>
      <c r="M720" s="59">
        <f>ROUND(M719/(M$705++M$707+M$711+M$709+M$713+M$715+M$717+M$719+M$721),3)</f>
        <v>2.8000000000000001E-2</v>
      </c>
      <c r="N720" s="59">
        <f>ROUND(N719/(N$705++N$707+N$711+N$709+N$713+N$715+N$717+N$719+N$721),3)+0.001</f>
        <v>5.7000000000000002E-2</v>
      </c>
      <c r="O720" s="59">
        <f>ROUND(O719/(O$705++O$707+O$711+O$709+O$713+O$715+O$717+O$719+O$721),3)</f>
        <v>1.7999999999999999E-2</v>
      </c>
      <c r="P720" s="59">
        <f>ROUND(P719/(P$705++P$707+P$711+P$709+P$713+P$715+P$717+P$719+P$721),3)</f>
        <v>0</v>
      </c>
      <c r="Q720" s="59">
        <f>ROUND(Q719/(Q$705++Q$707+Q$711+Q$709+Q$713+Q$715+Q$717+Q$719+Q$721),3)</f>
        <v>1.2999999999999999E-2</v>
      </c>
      <c r="R720" s="59">
        <f>ROUND(R719/(R$705++R$707+R$711+R$709+R$713+R$715+R$717+R$719+R$721),3)+0.001</f>
        <v>3.5000000000000003E-2</v>
      </c>
      <c r="S720" s="1"/>
      <c r="U720" s="1"/>
      <c r="Y720" s="4"/>
      <c r="AA720" s="105"/>
      <c r="AB720" s="105"/>
      <c r="AC720" s="105"/>
      <c r="AD720" s="477"/>
      <c r="AE720" s="477"/>
      <c r="AF720" s="477"/>
      <c r="AG720" s="478"/>
      <c r="AH720" s="478"/>
      <c r="AI720" s="78"/>
      <c r="AJ720" s="78"/>
      <c r="AK720" s="78"/>
      <c r="AL720" s="78"/>
      <c r="AN720" s="1"/>
    </row>
    <row r="721" spans="2:40" ht="12.75" customHeight="1" x14ac:dyDescent="0.15">
      <c r="D721" s="457" t="s">
        <v>121</v>
      </c>
      <c r="E721" s="401"/>
      <c r="F721" s="401"/>
      <c r="G721" s="54">
        <f>H721+I721+J721</f>
        <v>27</v>
      </c>
      <c r="H721" s="55">
        <v>3</v>
      </c>
      <c r="I721" s="55">
        <v>9</v>
      </c>
      <c r="J721" s="56">
        <v>15</v>
      </c>
      <c r="K721" s="54">
        <f>L721+M721+N721</f>
        <v>38</v>
      </c>
      <c r="L721" s="55">
        <f>1+0+1</f>
        <v>2</v>
      </c>
      <c r="M721" s="55">
        <f>14+2+1</f>
        <v>17</v>
      </c>
      <c r="N721" s="55">
        <f>12+4+3</f>
        <v>19</v>
      </c>
      <c r="O721" s="55">
        <f>P721+Q721+R721</f>
        <v>49</v>
      </c>
      <c r="P721" s="55">
        <v>2</v>
      </c>
      <c r="Q721" s="55">
        <v>33</v>
      </c>
      <c r="R721" s="55">
        <v>14</v>
      </c>
      <c r="S721" s="1"/>
      <c r="U721" s="1"/>
      <c r="Y721" s="4"/>
      <c r="AA721" s="105"/>
      <c r="AB721" s="105"/>
      <c r="AC721" s="105"/>
      <c r="AD721" s="477"/>
      <c r="AE721" s="477"/>
      <c r="AF721" s="477"/>
      <c r="AG721" s="478"/>
      <c r="AH721" s="478"/>
      <c r="AI721" s="102"/>
      <c r="AJ721" s="102"/>
      <c r="AK721" s="102"/>
      <c r="AL721" s="102"/>
      <c r="AN721" s="1"/>
    </row>
    <row r="722" spans="2:40" ht="12.75" customHeight="1" x14ac:dyDescent="0.15">
      <c r="D722" s="459"/>
      <c r="E722" s="403"/>
      <c r="F722" s="403"/>
      <c r="G722" s="58">
        <f t="shared" ref="G722:R722" si="185">ROUND(G721/(G$705++G$707+G$711+G$709+G$713+G$715+G$717+G$719+G$721),3)</f>
        <v>7.1999999999999995E-2</v>
      </c>
      <c r="H722" s="59">
        <f t="shared" si="185"/>
        <v>0.5</v>
      </c>
      <c r="I722" s="59">
        <f t="shared" si="185"/>
        <v>4.4999999999999998E-2</v>
      </c>
      <c r="J722" s="60">
        <f t="shared" si="185"/>
        <v>0.09</v>
      </c>
      <c r="K722" s="58">
        <f t="shared" si="185"/>
        <v>7.1999999999999995E-2</v>
      </c>
      <c r="L722" s="59">
        <f t="shared" si="185"/>
        <v>0.154</v>
      </c>
      <c r="M722" s="59">
        <f t="shared" si="185"/>
        <v>5.2999999999999999E-2</v>
      </c>
      <c r="N722" s="59">
        <f t="shared" si="185"/>
        <v>9.6000000000000002E-2</v>
      </c>
      <c r="O722" s="59">
        <f t="shared" si="185"/>
        <v>0.09</v>
      </c>
      <c r="P722" s="59">
        <f t="shared" si="185"/>
        <v>0.182</v>
      </c>
      <c r="Q722" s="59">
        <f t="shared" si="185"/>
        <v>8.5000000000000006E-2</v>
      </c>
      <c r="R722" s="59">
        <f t="shared" si="185"/>
        <v>9.7000000000000003E-2</v>
      </c>
      <c r="S722" s="1"/>
      <c r="U722" s="1"/>
      <c r="Y722" s="4"/>
      <c r="AA722" s="105"/>
      <c r="AB722" s="105"/>
      <c r="AC722" s="105"/>
      <c r="AD722" s="477"/>
      <c r="AE722" s="477"/>
      <c r="AF722" s="477"/>
      <c r="AG722" s="478"/>
      <c r="AH722" s="478"/>
      <c r="AI722" s="78"/>
      <c r="AJ722" s="78"/>
      <c r="AK722" s="78"/>
      <c r="AL722" s="78"/>
      <c r="AN722" s="1"/>
    </row>
    <row r="723" spans="2:40" ht="12.75" customHeight="1" x14ac:dyDescent="0.15">
      <c r="D723" s="399" t="s">
        <v>53</v>
      </c>
      <c r="E723" s="386"/>
      <c r="F723" s="386"/>
      <c r="G723" s="54">
        <f t="shared" ref="G723:R723" si="186">G705+G707+G711+G709+G713+G715+G717+G719+G721</f>
        <v>375</v>
      </c>
      <c r="H723" s="55">
        <f t="shared" si="186"/>
        <v>6</v>
      </c>
      <c r="I723" s="55">
        <f t="shared" si="186"/>
        <v>202</v>
      </c>
      <c r="J723" s="56">
        <f t="shared" si="186"/>
        <v>167</v>
      </c>
      <c r="K723" s="54">
        <f t="shared" si="186"/>
        <v>530</v>
      </c>
      <c r="L723" s="55">
        <f t="shared" si="186"/>
        <v>13</v>
      </c>
      <c r="M723" s="55">
        <f t="shared" si="186"/>
        <v>319</v>
      </c>
      <c r="N723" s="55">
        <f t="shared" si="186"/>
        <v>198</v>
      </c>
      <c r="O723" s="55">
        <f t="shared" si="186"/>
        <v>545</v>
      </c>
      <c r="P723" s="55">
        <f t="shared" si="186"/>
        <v>11</v>
      </c>
      <c r="Q723" s="55">
        <f t="shared" si="186"/>
        <v>389</v>
      </c>
      <c r="R723" s="55">
        <f t="shared" si="186"/>
        <v>145</v>
      </c>
      <c r="T723" s="2"/>
      <c r="U723" s="1"/>
      <c r="Y723" s="4"/>
      <c r="AA723" s="105"/>
      <c r="AB723" s="105"/>
      <c r="AC723" s="105"/>
      <c r="AD723" s="477"/>
      <c r="AE723" s="477"/>
      <c r="AF723" s="477"/>
      <c r="AG723" s="478"/>
      <c r="AH723" s="478"/>
      <c r="AI723" s="102"/>
      <c r="AJ723" s="102"/>
      <c r="AK723" s="102"/>
      <c r="AL723" s="102"/>
      <c r="AN723" s="1"/>
    </row>
    <row r="724" spans="2:40" ht="12.75" customHeight="1" thickBot="1" x14ac:dyDescent="0.2">
      <c r="D724" s="400"/>
      <c r="E724" s="443"/>
      <c r="F724" s="443"/>
      <c r="G724" s="65">
        <f>G706+G708+G712+G710+G714+G716+G718+G720+G722</f>
        <v>1.0000000000000002</v>
      </c>
      <c r="H724" s="66">
        <f>H706+H708+H712+H710+H714+H716+H718+H720+H722-0.001</f>
        <v>0.99999999999999989</v>
      </c>
      <c r="I724" s="66">
        <f>I706+I708+I712+I710+I714+I716+I718+I720+I722</f>
        <v>1</v>
      </c>
      <c r="J724" s="67">
        <f>J706+J708+J712+J710+J714+J716+J718+J720+J722</f>
        <v>1.0030000000000001</v>
      </c>
      <c r="K724" s="68">
        <f>K706+K708+K712+K710+K714+K716+K718+K720+K722</f>
        <v>0.99999999999999989</v>
      </c>
      <c r="L724" s="69">
        <f>L706+L708+L712+L710+L714+L716+L718+L720+L722-0.001</f>
        <v>0.99999999999999989</v>
      </c>
      <c r="M724" s="69">
        <f>M706+M708+M712+M710+M714+M716+M718+M720+M722</f>
        <v>1</v>
      </c>
      <c r="N724" s="69">
        <f>N706+N708+N712+N710+N714+N716+N718+N720+N722</f>
        <v>1.002</v>
      </c>
      <c r="O724" s="69">
        <f>O706+O708+O712+O710+O714+O716+O718+O720+O722</f>
        <v>1</v>
      </c>
      <c r="P724" s="69">
        <f>P706+P708+P712+P710+P714+P716+P718+P720+P722-0.001</f>
        <v>0.99999999999999989</v>
      </c>
      <c r="Q724" s="69">
        <f>Q706+Q708+Q712+Q710+Q714+Q716+Q718+Q720+Q722</f>
        <v>1</v>
      </c>
      <c r="R724" s="69">
        <f>R706+R708+R712+R710+R714+R716+R718+R720+R722</f>
        <v>0.99999999999999989</v>
      </c>
      <c r="T724" s="2"/>
      <c r="U724" s="1"/>
      <c r="Y724" s="4"/>
      <c r="AA724" s="105"/>
      <c r="AB724" s="105"/>
      <c r="AC724" s="105"/>
      <c r="AD724" s="477"/>
      <c r="AE724" s="477"/>
      <c r="AF724" s="477"/>
      <c r="AG724" s="478"/>
      <c r="AH724" s="478"/>
      <c r="AI724" s="78"/>
      <c r="AJ724" s="78"/>
      <c r="AK724" s="78"/>
      <c r="AL724" s="78"/>
      <c r="AN724" s="1"/>
    </row>
    <row r="725" spans="2:40" ht="12.75" customHeight="1" x14ac:dyDescent="0.15">
      <c r="D725" s="1"/>
      <c r="N725" s="1"/>
      <c r="O725" s="1"/>
      <c r="P725" s="1"/>
      <c r="Q725" s="1"/>
      <c r="R725" s="1"/>
      <c r="S725" s="1"/>
      <c r="W725" s="105"/>
      <c r="X725" s="105"/>
      <c r="Y725" s="105"/>
      <c r="Z725" s="422"/>
      <c r="AA725" s="422"/>
      <c r="AB725" s="422"/>
      <c r="AC725" s="478"/>
      <c r="AD725" s="478"/>
      <c r="AE725" s="102"/>
      <c r="AF725" s="102"/>
      <c r="AG725" s="102"/>
      <c r="AH725" s="102"/>
      <c r="AN725" s="1"/>
    </row>
    <row r="726" spans="2:40" ht="12.75" customHeight="1" x14ac:dyDescent="0.15">
      <c r="D726" s="1"/>
      <c r="N726" s="1"/>
      <c r="O726" s="1"/>
      <c r="P726" s="1"/>
      <c r="Q726" s="1"/>
      <c r="R726" s="1"/>
      <c r="S726" s="1"/>
      <c r="W726" s="105"/>
      <c r="X726" s="105"/>
      <c r="Y726" s="105"/>
      <c r="Z726" s="422"/>
      <c r="AA726" s="422"/>
      <c r="AB726" s="422"/>
      <c r="AC726" s="478"/>
      <c r="AD726" s="478"/>
      <c r="AE726" s="78"/>
      <c r="AF726" s="78"/>
      <c r="AG726" s="78"/>
      <c r="AH726" s="78"/>
      <c r="AN726" s="1"/>
    </row>
    <row r="727" spans="2:40" ht="10.5" customHeight="1" x14ac:dyDescent="0.15">
      <c r="D727" s="100"/>
      <c r="E727" s="100"/>
      <c r="F727" s="78"/>
      <c r="G727" s="78"/>
      <c r="H727" s="78"/>
      <c r="I727" s="78"/>
      <c r="J727" s="72"/>
      <c r="K727" s="46"/>
      <c r="N727" s="1"/>
      <c r="O727" s="1"/>
      <c r="P727" s="1"/>
      <c r="Q727" s="1"/>
      <c r="R727" s="1"/>
      <c r="S727" s="1"/>
      <c r="W727" s="105"/>
      <c r="X727" s="105"/>
      <c r="Y727" s="105"/>
      <c r="Z727" s="105"/>
      <c r="AA727" s="105"/>
      <c r="AB727" s="105"/>
      <c r="AC727" s="105"/>
      <c r="AD727" s="105"/>
      <c r="AE727" s="105"/>
      <c r="AF727" s="132"/>
      <c r="AG727" s="105"/>
      <c r="AH727" s="105"/>
      <c r="AN727" s="1"/>
    </row>
    <row r="728" spans="2:40" ht="12.75" customHeight="1" thickBot="1" x14ac:dyDescent="0.2">
      <c r="B728" s="10" t="s">
        <v>194</v>
      </c>
      <c r="G728" s="11"/>
      <c r="K728" s="52"/>
      <c r="O728" s="52"/>
      <c r="W728" s="105"/>
      <c r="X728" s="105"/>
      <c r="Y728" s="105"/>
      <c r="Z728" s="105"/>
      <c r="AA728" s="105"/>
      <c r="AB728" s="105"/>
      <c r="AC728" s="105"/>
      <c r="AD728" s="105"/>
      <c r="AE728" s="105"/>
      <c r="AF728" s="105"/>
      <c r="AG728" s="105"/>
      <c r="AH728" s="105"/>
    </row>
    <row r="729" spans="2:40" ht="12.75" customHeight="1" x14ac:dyDescent="0.15">
      <c r="D729" s="399"/>
      <c r="E729" s="453"/>
      <c r="F729" s="444" t="s">
        <v>26</v>
      </c>
      <c r="G729" s="455"/>
      <c r="H729" s="455"/>
      <c r="I729" s="456"/>
      <c r="J729" s="467" t="s">
        <v>27</v>
      </c>
      <c r="K729" s="451"/>
      <c r="L729" s="451"/>
      <c r="M729" s="452"/>
      <c r="N729" s="476" t="s">
        <v>28</v>
      </c>
      <c r="O729" s="476"/>
      <c r="P729" s="476"/>
      <c r="Q729" s="476"/>
      <c r="R729" s="1"/>
      <c r="S729" s="1"/>
      <c r="U729" s="1"/>
      <c r="Y729" s="4"/>
      <c r="AA729" s="105"/>
      <c r="AB729" s="105"/>
      <c r="AC729" s="105"/>
      <c r="AD729" s="105"/>
      <c r="AE729" s="105"/>
      <c r="AF729" s="105"/>
      <c r="AG729" s="105"/>
      <c r="AH729" s="105"/>
      <c r="AI729" s="105"/>
      <c r="AJ729" s="132"/>
      <c r="AK729" s="105"/>
      <c r="AL729" s="105"/>
      <c r="AN729" s="1"/>
    </row>
    <row r="730" spans="2:40" ht="12.75" customHeight="1" x14ac:dyDescent="0.15">
      <c r="D730" s="400"/>
      <c r="E730" s="454"/>
      <c r="F730" s="371"/>
      <c r="G730" s="364" t="s">
        <v>29</v>
      </c>
      <c r="H730" s="364" t="s">
        <v>30</v>
      </c>
      <c r="I730" s="374" t="s">
        <v>31</v>
      </c>
      <c r="J730" s="14"/>
      <c r="K730" s="15" t="s">
        <v>29</v>
      </c>
      <c r="L730" s="15" t="s">
        <v>30</v>
      </c>
      <c r="M730" s="375" t="s">
        <v>31</v>
      </c>
      <c r="N730" s="372"/>
      <c r="O730" s="364" t="s">
        <v>29</v>
      </c>
      <c r="P730" s="364" t="s">
        <v>30</v>
      </c>
      <c r="Q730" s="375" t="s">
        <v>31</v>
      </c>
      <c r="R730" s="1"/>
      <c r="S730" s="1"/>
      <c r="U730" s="1"/>
      <c r="Y730" s="4"/>
      <c r="AA730" s="105"/>
      <c r="AB730" s="105"/>
      <c r="AC730" s="105"/>
      <c r="AD730" s="105"/>
      <c r="AE730" s="105"/>
      <c r="AF730" s="105"/>
      <c r="AG730" s="105"/>
      <c r="AH730" s="105"/>
      <c r="AI730" s="105"/>
      <c r="AJ730" s="132"/>
      <c r="AK730" s="105"/>
      <c r="AL730" s="105"/>
      <c r="AN730" s="1"/>
    </row>
    <row r="731" spans="2:40" ht="12.75" customHeight="1" x14ac:dyDescent="0.15">
      <c r="D731" s="439" t="s">
        <v>195</v>
      </c>
      <c r="E731" s="474"/>
      <c r="F731" s="54">
        <f>G731+H731+I731</f>
        <v>3</v>
      </c>
      <c r="G731" s="55">
        <v>1</v>
      </c>
      <c r="H731" s="55">
        <v>2</v>
      </c>
      <c r="I731" s="56">
        <v>0</v>
      </c>
      <c r="J731" s="54">
        <f>K731+L731+M731</f>
        <v>1</v>
      </c>
      <c r="K731" s="55">
        <v>0</v>
      </c>
      <c r="L731" s="55">
        <v>0</v>
      </c>
      <c r="M731" s="55">
        <v>1</v>
      </c>
      <c r="N731" s="55">
        <f>O731+P731+Q731</f>
        <v>3</v>
      </c>
      <c r="O731" s="55">
        <v>0</v>
      </c>
      <c r="P731" s="55">
        <v>3</v>
      </c>
      <c r="Q731" s="55">
        <v>0</v>
      </c>
      <c r="R731" s="1"/>
      <c r="S731" s="1"/>
      <c r="U731" s="1"/>
      <c r="Y731" s="4"/>
      <c r="AA731" s="105"/>
      <c r="AB731" s="105"/>
      <c r="AC731" s="105"/>
      <c r="AD731" s="105"/>
      <c r="AE731" s="105"/>
      <c r="AF731" s="105"/>
      <c r="AG731" s="105"/>
      <c r="AH731" s="105"/>
      <c r="AI731" s="105"/>
      <c r="AJ731" s="132"/>
      <c r="AK731" s="105"/>
      <c r="AL731" s="105"/>
      <c r="AN731" s="1"/>
    </row>
    <row r="732" spans="2:40" ht="12.75" customHeight="1" x14ac:dyDescent="0.15">
      <c r="D732" s="441"/>
      <c r="E732" s="475"/>
      <c r="F732" s="58">
        <f t="shared" ref="F732:Q732" si="187">ROUND(F731/(F$731+F$733+F$735+F$737+F$739),3)</f>
        <v>6.0000000000000001E-3</v>
      </c>
      <c r="G732" s="59">
        <f t="shared" si="187"/>
        <v>1.7000000000000001E-2</v>
      </c>
      <c r="H732" s="59">
        <f t="shared" si="187"/>
        <v>3.5999999999999997E-2</v>
      </c>
      <c r="I732" s="60">
        <f t="shared" si="187"/>
        <v>0</v>
      </c>
      <c r="J732" s="58">
        <f t="shared" si="187"/>
        <v>2E-3</v>
      </c>
      <c r="K732" s="59">
        <f t="shared" si="187"/>
        <v>0</v>
      </c>
      <c r="L732" s="59">
        <f t="shared" si="187"/>
        <v>0</v>
      </c>
      <c r="M732" s="59">
        <f t="shared" si="187"/>
        <v>3.0000000000000001E-3</v>
      </c>
      <c r="N732" s="59">
        <f t="shared" si="187"/>
        <v>6.0000000000000001E-3</v>
      </c>
      <c r="O732" s="59">
        <f t="shared" si="187"/>
        <v>0</v>
      </c>
      <c r="P732" s="59">
        <f t="shared" si="187"/>
        <v>4.3999999999999997E-2</v>
      </c>
      <c r="Q732" s="59">
        <f t="shared" si="187"/>
        <v>0</v>
      </c>
      <c r="R732" s="1"/>
      <c r="S732" s="1"/>
      <c r="U732" s="1"/>
      <c r="Y732" s="4"/>
      <c r="AA732" s="105"/>
      <c r="AB732" s="105"/>
      <c r="AC732" s="105"/>
      <c r="AD732" s="105"/>
      <c r="AE732" s="105"/>
      <c r="AF732" s="105"/>
      <c r="AG732" s="105"/>
      <c r="AH732" s="105"/>
      <c r="AI732" s="105"/>
      <c r="AJ732" s="132"/>
      <c r="AK732" s="105"/>
      <c r="AL732" s="105"/>
      <c r="AN732" s="1"/>
    </row>
    <row r="733" spans="2:40" ht="12.75" customHeight="1" x14ac:dyDescent="0.15">
      <c r="D733" s="439" t="s">
        <v>4</v>
      </c>
      <c r="E733" s="474"/>
      <c r="F733" s="54">
        <f>G733+H733+I733</f>
        <v>22</v>
      </c>
      <c r="G733" s="55">
        <v>2</v>
      </c>
      <c r="H733" s="55">
        <v>7</v>
      </c>
      <c r="I733" s="56">
        <v>13</v>
      </c>
      <c r="J733" s="54">
        <f>K733+L733+M733</f>
        <v>17</v>
      </c>
      <c r="K733" s="55">
        <v>2</v>
      </c>
      <c r="L733" s="55">
        <v>7</v>
      </c>
      <c r="M733" s="55">
        <v>8</v>
      </c>
      <c r="N733" s="55">
        <f>O733+P733+Q733</f>
        <v>24</v>
      </c>
      <c r="O733" s="55">
        <v>4</v>
      </c>
      <c r="P733" s="55">
        <v>7</v>
      </c>
      <c r="Q733" s="55">
        <v>13</v>
      </c>
      <c r="R733" s="1"/>
      <c r="S733" s="1"/>
      <c r="U733" s="1"/>
      <c r="Y733" s="4"/>
      <c r="AA733" s="105"/>
      <c r="AB733" s="105"/>
      <c r="AC733" s="105"/>
      <c r="AD733" s="105"/>
      <c r="AE733" s="105"/>
      <c r="AF733" s="105"/>
      <c r="AG733" s="105"/>
      <c r="AH733" s="105"/>
      <c r="AI733" s="105"/>
      <c r="AJ733" s="132"/>
      <c r="AK733" s="105"/>
      <c r="AL733" s="105"/>
      <c r="AN733" s="1"/>
    </row>
    <row r="734" spans="2:40" ht="12.75" customHeight="1" x14ac:dyDescent="0.15">
      <c r="D734" s="441"/>
      <c r="E734" s="475"/>
      <c r="F734" s="58">
        <f t="shared" ref="F734:Q734" si="188">ROUND(F733/(F$731+F$733+F$735+F$737+F$739),3)</f>
        <v>4.7E-2</v>
      </c>
      <c r="G734" s="59">
        <f t="shared" si="188"/>
        <v>3.3000000000000002E-2</v>
      </c>
      <c r="H734" s="59">
        <f t="shared" si="188"/>
        <v>0.125</v>
      </c>
      <c r="I734" s="60">
        <f t="shared" si="188"/>
        <v>3.6999999999999998E-2</v>
      </c>
      <c r="J734" s="58">
        <f t="shared" si="188"/>
        <v>3.9E-2</v>
      </c>
      <c r="K734" s="59">
        <f t="shared" si="188"/>
        <v>3.6999999999999998E-2</v>
      </c>
      <c r="L734" s="59">
        <f t="shared" si="188"/>
        <v>0.111</v>
      </c>
      <c r="M734" s="59">
        <f t="shared" si="188"/>
        <v>2.5000000000000001E-2</v>
      </c>
      <c r="N734" s="59">
        <f t="shared" si="188"/>
        <v>5.0999999999999997E-2</v>
      </c>
      <c r="O734" s="59">
        <f t="shared" si="188"/>
        <v>6.2E-2</v>
      </c>
      <c r="P734" s="59">
        <f t="shared" si="188"/>
        <v>0.10299999999999999</v>
      </c>
      <c r="Q734" s="59">
        <f t="shared" si="188"/>
        <v>3.7999999999999999E-2</v>
      </c>
      <c r="R734" s="1"/>
      <c r="S734" s="1"/>
      <c r="U734" s="1"/>
      <c r="Y734" s="4"/>
      <c r="AA734" s="105"/>
      <c r="AB734" s="105"/>
      <c r="AC734" s="105"/>
      <c r="AD734" s="105"/>
      <c r="AE734" s="105"/>
      <c r="AF734" s="105"/>
      <c r="AG734" s="105"/>
      <c r="AH734" s="105"/>
      <c r="AI734" s="105"/>
      <c r="AJ734" s="132"/>
      <c r="AK734" s="105"/>
      <c r="AL734" s="105"/>
      <c r="AN734" s="1"/>
    </row>
    <row r="735" spans="2:40" ht="12.75" customHeight="1" x14ac:dyDescent="0.15">
      <c r="D735" s="439" t="s">
        <v>5</v>
      </c>
      <c r="E735" s="474"/>
      <c r="F735" s="54">
        <f>G735+H735+I735</f>
        <v>159</v>
      </c>
      <c r="G735" s="55">
        <v>16</v>
      </c>
      <c r="H735" s="55">
        <v>25</v>
      </c>
      <c r="I735" s="56">
        <v>118</v>
      </c>
      <c r="J735" s="54">
        <f>K735+L735+M735</f>
        <v>143</v>
      </c>
      <c r="K735" s="55">
        <v>11</v>
      </c>
      <c r="L735" s="55">
        <v>38</v>
      </c>
      <c r="M735" s="55">
        <v>94</v>
      </c>
      <c r="N735" s="55">
        <f>O735+P735+Q735</f>
        <v>130</v>
      </c>
      <c r="O735" s="55">
        <v>11</v>
      </c>
      <c r="P735" s="55">
        <v>30</v>
      </c>
      <c r="Q735" s="55">
        <v>89</v>
      </c>
      <c r="R735" s="1"/>
      <c r="S735" s="1"/>
      <c r="U735" s="1"/>
      <c r="Y735" s="4"/>
      <c r="AA735" s="105"/>
      <c r="AB735" s="105"/>
      <c r="AC735" s="105"/>
      <c r="AD735" s="105"/>
      <c r="AE735" s="105"/>
      <c r="AF735" s="105"/>
      <c r="AG735" s="105"/>
      <c r="AH735" s="105"/>
      <c r="AI735" s="105"/>
      <c r="AJ735" s="132"/>
      <c r="AK735" s="105"/>
      <c r="AL735" s="105"/>
      <c r="AN735" s="1"/>
    </row>
    <row r="736" spans="2:40" ht="12.75" customHeight="1" x14ac:dyDescent="0.15">
      <c r="D736" s="441"/>
      <c r="E736" s="475"/>
      <c r="F736" s="58">
        <f t="shared" ref="F736:Q736" si="189">ROUND(F735/(F$731+F$733+F$735+F$737+F$739),3)</f>
        <v>0.34200000000000003</v>
      </c>
      <c r="G736" s="59">
        <f t="shared" si="189"/>
        <v>0.26700000000000002</v>
      </c>
      <c r="H736" s="59">
        <f t="shared" si="189"/>
        <v>0.44600000000000001</v>
      </c>
      <c r="I736" s="60">
        <f t="shared" si="189"/>
        <v>0.33800000000000002</v>
      </c>
      <c r="J736" s="58">
        <f t="shared" si="189"/>
        <v>0.32400000000000001</v>
      </c>
      <c r="K736" s="59">
        <f t="shared" si="189"/>
        <v>0.20399999999999999</v>
      </c>
      <c r="L736" s="59">
        <f t="shared" si="189"/>
        <v>0.60299999999999998</v>
      </c>
      <c r="M736" s="59">
        <f t="shared" si="189"/>
        <v>0.28999999999999998</v>
      </c>
      <c r="N736" s="59">
        <f t="shared" si="189"/>
        <v>0.27400000000000002</v>
      </c>
      <c r="O736" s="59">
        <f t="shared" si="189"/>
        <v>0.16900000000000001</v>
      </c>
      <c r="P736" s="59">
        <f t="shared" si="189"/>
        <v>0.441</v>
      </c>
      <c r="Q736" s="59">
        <f t="shared" si="189"/>
        <v>0.26100000000000001</v>
      </c>
      <c r="R736" s="1"/>
      <c r="S736" s="1"/>
      <c r="U736" s="1"/>
      <c r="Y736" s="4"/>
      <c r="AA736" s="105"/>
      <c r="AB736" s="105"/>
      <c r="AC736" s="105"/>
      <c r="AD736" s="105"/>
      <c r="AE736" s="105"/>
      <c r="AF736" s="105"/>
      <c r="AG736" s="105"/>
      <c r="AH736" s="105"/>
      <c r="AI736" s="105"/>
      <c r="AJ736" s="132"/>
      <c r="AK736" s="105"/>
      <c r="AL736" s="105"/>
      <c r="AN736" s="1"/>
    </row>
    <row r="737" spans="2:44" ht="12.75" customHeight="1" x14ac:dyDescent="0.15">
      <c r="D737" s="439" t="s">
        <v>6</v>
      </c>
      <c r="E737" s="474"/>
      <c r="F737" s="54">
        <f>G737+H737+I737</f>
        <v>85</v>
      </c>
      <c r="G737" s="55">
        <v>15</v>
      </c>
      <c r="H737" s="55">
        <v>8</v>
      </c>
      <c r="I737" s="56">
        <v>62</v>
      </c>
      <c r="J737" s="54">
        <f>K737+L737+M737</f>
        <v>92</v>
      </c>
      <c r="K737" s="55">
        <v>10</v>
      </c>
      <c r="L737" s="55">
        <v>9</v>
      </c>
      <c r="M737" s="55">
        <v>73</v>
      </c>
      <c r="N737" s="55">
        <f>O737+P737+Q737</f>
        <v>127</v>
      </c>
      <c r="O737" s="55">
        <v>21</v>
      </c>
      <c r="P737" s="55">
        <v>16</v>
      </c>
      <c r="Q737" s="55">
        <v>90</v>
      </c>
      <c r="R737" s="1"/>
      <c r="S737" s="1"/>
      <c r="U737" s="1"/>
      <c r="Y737" s="4"/>
      <c r="AA737" s="105"/>
      <c r="AB737" s="105"/>
      <c r="AC737" s="105"/>
      <c r="AD737" s="105"/>
      <c r="AE737" s="105"/>
      <c r="AF737" s="105"/>
      <c r="AG737" s="105"/>
      <c r="AH737" s="105"/>
      <c r="AI737" s="105"/>
      <c r="AJ737" s="132"/>
      <c r="AK737" s="105"/>
      <c r="AL737" s="105"/>
      <c r="AN737" s="1"/>
    </row>
    <row r="738" spans="2:44" ht="12.75" customHeight="1" x14ac:dyDescent="0.15">
      <c r="D738" s="441"/>
      <c r="E738" s="475"/>
      <c r="F738" s="58">
        <f t="shared" ref="F738:Q738" si="190">ROUND(F737/(F$731+F$733+F$735+F$737+F$739),3)</f>
        <v>0.183</v>
      </c>
      <c r="G738" s="59">
        <f t="shared" si="190"/>
        <v>0.25</v>
      </c>
      <c r="H738" s="59">
        <f t="shared" si="190"/>
        <v>0.14299999999999999</v>
      </c>
      <c r="I738" s="60">
        <f t="shared" si="190"/>
        <v>0.17799999999999999</v>
      </c>
      <c r="J738" s="58">
        <f t="shared" si="190"/>
        <v>0.20899999999999999</v>
      </c>
      <c r="K738" s="59">
        <f t="shared" si="190"/>
        <v>0.185</v>
      </c>
      <c r="L738" s="59">
        <f t="shared" si="190"/>
        <v>0.14299999999999999</v>
      </c>
      <c r="M738" s="59">
        <f t="shared" si="190"/>
        <v>0.22500000000000001</v>
      </c>
      <c r="N738" s="59">
        <f t="shared" si="190"/>
        <v>0.26800000000000002</v>
      </c>
      <c r="O738" s="59">
        <f t="shared" si="190"/>
        <v>0.32300000000000001</v>
      </c>
      <c r="P738" s="59">
        <f t="shared" si="190"/>
        <v>0.23499999999999999</v>
      </c>
      <c r="Q738" s="59">
        <f t="shared" si="190"/>
        <v>0.26400000000000001</v>
      </c>
      <c r="R738" s="1"/>
      <c r="S738" s="1"/>
      <c r="U738" s="1"/>
      <c r="Y738" s="4"/>
      <c r="AA738" s="105"/>
      <c r="AB738" s="105"/>
      <c r="AC738" s="105"/>
      <c r="AD738" s="105"/>
      <c r="AE738" s="105"/>
      <c r="AF738" s="105"/>
      <c r="AG738" s="105"/>
      <c r="AH738" s="105"/>
      <c r="AI738" s="105"/>
      <c r="AJ738" s="132"/>
      <c r="AK738" s="105"/>
      <c r="AL738" s="105"/>
      <c r="AN738" s="1"/>
    </row>
    <row r="739" spans="2:44" ht="12.75" customHeight="1" x14ac:dyDescent="0.15">
      <c r="D739" s="439" t="s">
        <v>196</v>
      </c>
      <c r="E739" s="474"/>
      <c r="F739" s="54">
        <f>G739+H739+I739</f>
        <v>196</v>
      </c>
      <c r="G739" s="55">
        <v>26</v>
      </c>
      <c r="H739" s="55">
        <v>14</v>
      </c>
      <c r="I739" s="56">
        <v>156</v>
      </c>
      <c r="J739" s="54">
        <f>K739+L739+M739</f>
        <v>188</v>
      </c>
      <c r="K739" s="55">
        <v>31</v>
      </c>
      <c r="L739" s="55">
        <v>9</v>
      </c>
      <c r="M739" s="55">
        <v>148</v>
      </c>
      <c r="N739" s="55">
        <f>O739+P739+Q739</f>
        <v>190</v>
      </c>
      <c r="O739" s="55">
        <v>29</v>
      </c>
      <c r="P739" s="55">
        <v>12</v>
      </c>
      <c r="Q739" s="55">
        <v>149</v>
      </c>
      <c r="R739" s="1"/>
      <c r="S739" s="1"/>
      <c r="U739" s="1"/>
      <c r="Y739" s="4"/>
      <c r="AA739" s="105"/>
      <c r="AB739" s="105"/>
      <c r="AC739" s="105"/>
      <c r="AD739" s="105"/>
      <c r="AE739" s="105"/>
      <c r="AF739" s="105"/>
      <c r="AG739" s="105"/>
      <c r="AH739" s="105"/>
      <c r="AI739" s="105"/>
      <c r="AJ739" s="132"/>
      <c r="AK739" s="105"/>
      <c r="AL739" s="105"/>
      <c r="AN739" s="1"/>
    </row>
    <row r="740" spans="2:44" ht="12.75" customHeight="1" x14ac:dyDescent="0.15">
      <c r="D740" s="441"/>
      <c r="E740" s="475"/>
      <c r="F740" s="58">
        <f>ROUND(F739/(F$731+F$733+F$735+F$737+F$739),3)</f>
        <v>0.42199999999999999</v>
      </c>
      <c r="G740" s="59">
        <f>ROUND(G739/(G$731+G$733+G$735+G$737+G$739),3)</f>
        <v>0.433</v>
      </c>
      <c r="H740" s="59">
        <f>ROUND(H739/(H$731+H$733+H$735+H$737+H$739),3)+0.001</f>
        <v>0.251</v>
      </c>
      <c r="I740" s="60">
        <f>ROUND(I739/(I$731+I$733+I$735+I$737+I$739),3)</f>
        <v>0.44700000000000001</v>
      </c>
      <c r="J740" s="58">
        <f>ROUND(J739/(J$731+J$733+J$735+J$737+J$739),3)</f>
        <v>0.42599999999999999</v>
      </c>
      <c r="K740" s="59">
        <f>ROUND(K739/(K$731+K$733+K$735+K$737+K$739),3)</f>
        <v>0.57399999999999995</v>
      </c>
      <c r="L740" s="59">
        <f>ROUND(L739/(L$731+L$733+L$735+L$737+L$739),3)+0.001</f>
        <v>0.14399999999999999</v>
      </c>
      <c r="M740" s="59">
        <f>ROUND(M739/(M$731+M$733+M$735+M$737+M$739),3)</f>
        <v>0.45700000000000002</v>
      </c>
      <c r="N740" s="59">
        <f>ROUND(N739/(N$731+N$733+N$735+N$737+N$739),3)</f>
        <v>0.40100000000000002</v>
      </c>
      <c r="O740" s="59">
        <f>ROUND(O739/(O$731+O$733+O$735+O$737+O$739),3)</f>
        <v>0.44600000000000001</v>
      </c>
      <c r="P740" s="59">
        <f>ROUND(P739/(P$731+P$733+P$735+P$737+P$739),3)+0.001</f>
        <v>0.17699999999999999</v>
      </c>
      <c r="Q740" s="59">
        <f>ROUND(Q739/(Q$731+Q$733+Q$735+Q$737+Q$739),3)</f>
        <v>0.437</v>
      </c>
      <c r="R740" s="1"/>
      <c r="S740" s="1"/>
      <c r="U740" s="1"/>
      <c r="Y740" s="4"/>
      <c r="AA740" s="105"/>
      <c r="AB740" s="105"/>
      <c r="AC740" s="105"/>
      <c r="AD740" s="105"/>
      <c r="AE740" s="105"/>
      <c r="AF740" s="105"/>
      <c r="AG740" s="105"/>
      <c r="AH740" s="105"/>
      <c r="AI740" s="105"/>
      <c r="AJ740" s="132"/>
      <c r="AK740" s="105"/>
      <c r="AL740" s="105"/>
      <c r="AN740" s="1"/>
    </row>
    <row r="741" spans="2:44" ht="12.75" customHeight="1" x14ac:dyDescent="0.15">
      <c r="D741" s="399" t="s">
        <v>53</v>
      </c>
      <c r="E741" s="453"/>
      <c r="F741" s="54">
        <f t="shared" ref="F741:Q742" si="191">F731+F733+F735+F737+F739</f>
        <v>465</v>
      </c>
      <c r="G741" s="55">
        <f t="shared" si="191"/>
        <v>60</v>
      </c>
      <c r="H741" s="55">
        <f t="shared" si="191"/>
        <v>56</v>
      </c>
      <c r="I741" s="56">
        <f t="shared" si="191"/>
        <v>349</v>
      </c>
      <c r="J741" s="54">
        <f t="shared" si="191"/>
        <v>441</v>
      </c>
      <c r="K741" s="55">
        <f t="shared" si="191"/>
        <v>54</v>
      </c>
      <c r="L741" s="55">
        <f t="shared" si="191"/>
        <v>63</v>
      </c>
      <c r="M741" s="55">
        <f t="shared" si="191"/>
        <v>324</v>
      </c>
      <c r="N741" s="55">
        <f t="shared" si="191"/>
        <v>474</v>
      </c>
      <c r="O741" s="55">
        <f t="shared" si="191"/>
        <v>65</v>
      </c>
      <c r="P741" s="55">
        <f t="shared" si="191"/>
        <v>68</v>
      </c>
      <c r="Q741" s="55">
        <f t="shared" si="191"/>
        <v>341</v>
      </c>
      <c r="R741" s="78"/>
      <c r="S741" s="78"/>
      <c r="T741" s="78"/>
      <c r="U741" s="78"/>
      <c r="V741" s="72"/>
      <c r="W741" s="72"/>
      <c r="X741" s="46"/>
      <c r="Y741" s="47"/>
      <c r="Z741" s="46"/>
      <c r="AA741" s="422"/>
      <c r="AB741" s="422"/>
      <c r="AC741" s="422"/>
      <c r="AD741" s="422"/>
      <c r="AE741" s="422"/>
      <c r="AF741" s="422"/>
      <c r="AG741" s="105"/>
      <c r="AH741" s="105"/>
      <c r="AI741" s="105"/>
      <c r="AJ741" s="105"/>
      <c r="AK741" s="105"/>
      <c r="AL741" s="105"/>
      <c r="AN741" s="1"/>
      <c r="AR741" s="5"/>
    </row>
    <row r="742" spans="2:44" ht="12.75" customHeight="1" thickBot="1" x14ac:dyDescent="0.2">
      <c r="D742" s="400"/>
      <c r="E742" s="454"/>
      <c r="F742" s="65">
        <f t="shared" si="191"/>
        <v>1</v>
      </c>
      <c r="G742" s="66">
        <f t="shared" si="191"/>
        <v>1</v>
      </c>
      <c r="H742" s="66">
        <f t="shared" si="191"/>
        <v>1.0009999999999999</v>
      </c>
      <c r="I742" s="67">
        <f t="shared" si="191"/>
        <v>1</v>
      </c>
      <c r="J742" s="68">
        <f t="shared" si="191"/>
        <v>1</v>
      </c>
      <c r="K742" s="69">
        <f t="shared" si="191"/>
        <v>1</v>
      </c>
      <c r="L742" s="69">
        <f t="shared" si="191"/>
        <v>1.0009999999999999</v>
      </c>
      <c r="M742" s="69">
        <f t="shared" si="191"/>
        <v>1</v>
      </c>
      <c r="N742" s="69">
        <f t="shared" si="191"/>
        <v>1</v>
      </c>
      <c r="O742" s="69">
        <f t="shared" si="191"/>
        <v>1</v>
      </c>
      <c r="P742" s="69">
        <f t="shared" si="191"/>
        <v>1</v>
      </c>
      <c r="Q742" s="69">
        <f t="shared" si="191"/>
        <v>1</v>
      </c>
      <c r="R742" s="78"/>
      <c r="S742" s="78"/>
      <c r="T742" s="78"/>
      <c r="U742" s="78"/>
      <c r="V742" s="72"/>
      <c r="W742" s="72"/>
      <c r="X742" s="46"/>
      <c r="Y742" s="47"/>
      <c r="Z742" s="46"/>
      <c r="AA742" s="422"/>
      <c r="AB742" s="422"/>
      <c r="AC742" s="100"/>
      <c r="AD742" s="101"/>
      <c r="AE742" s="101"/>
      <c r="AF742" s="101"/>
      <c r="AG742" s="105"/>
      <c r="AH742" s="105"/>
      <c r="AI742" s="105"/>
      <c r="AJ742" s="105"/>
      <c r="AK742" s="105"/>
      <c r="AL742" s="105"/>
      <c r="AN742" s="1"/>
      <c r="AR742" s="5"/>
    </row>
    <row r="743" spans="2:44" x14ac:dyDescent="0.15">
      <c r="D743" s="100"/>
      <c r="E743" s="100"/>
      <c r="F743" s="78"/>
      <c r="G743" s="78"/>
      <c r="H743" s="78"/>
      <c r="I743" s="78"/>
      <c r="J743" s="78"/>
      <c r="K743" s="78"/>
      <c r="L743" s="78"/>
      <c r="M743" s="78"/>
      <c r="N743" s="78"/>
      <c r="O743" s="78"/>
      <c r="P743" s="78"/>
      <c r="Q743" s="78"/>
      <c r="R743" s="72"/>
      <c r="S743" s="72"/>
      <c r="T743" s="46"/>
      <c r="U743" s="47"/>
      <c r="V743" s="46"/>
      <c r="W743" s="100"/>
      <c r="X743" s="100"/>
      <c r="Y743" s="100"/>
      <c r="Z743" s="101"/>
      <c r="AA743" s="101"/>
      <c r="AB743" s="101"/>
      <c r="AC743" s="105"/>
      <c r="AD743" s="105"/>
      <c r="AE743" s="105"/>
      <c r="AF743" s="105"/>
      <c r="AG743" s="105"/>
      <c r="AH743" s="105"/>
    </row>
    <row r="744" spans="2:44" x14ac:dyDescent="0.15">
      <c r="D744" s="100"/>
      <c r="E744" s="100"/>
      <c r="F744" s="78"/>
      <c r="G744" s="78"/>
      <c r="H744" s="78"/>
      <c r="I744" s="78"/>
      <c r="J744" s="78"/>
      <c r="K744" s="78"/>
      <c r="L744" s="78"/>
      <c r="M744" s="78"/>
      <c r="N744" s="78"/>
      <c r="O744" s="78"/>
      <c r="P744" s="78"/>
      <c r="Q744" s="78"/>
      <c r="R744" s="72"/>
      <c r="S744" s="72"/>
      <c r="T744" s="46"/>
      <c r="U744" s="47"/>
      <c r="V744" s="46"/>
      <c r="W744" s="100"/>
      <c r="X744" s="100"/>
      <c r="Y744" s="100"/>
      <c r="Z744" s="101"/>
      <c r="AA744" s="101"/>
      <c r="AB744" s="101"/>
      <c r="AC744" s="105"/>
      <c r="AD744" s="105"/>
      <c r="AE744" s="105"/>
      <c r="AF744" s="105"/>
      <c r="AG744" s="105"/>
      <c r="AH744" s="105"/>
    </row>
    <row r="745" spans="2:44" x14ac:dyDescent="0.15">
      <c r="D745" s="100"/>
      <c r="E745" s="100"/>
      <c r="F745" s="78"/>
      <c r="G745" s="78"/>
      <c r="H745" s="78"/>
      <c r="I745" s="78"/>
      <c r="J745" s="78"/>
      <c r="K745" s="78"/>
      <c r="L745" s="78"/>
      <c r="M745" s="78"/>
      <c r="N745" s="78"/>
      <c r="O745" s="78"/>
      <c r="P745" s="78"/>
      <c r="Q745" s="78"/>
      <c r="R745" s="72"/>
      <c r="S745" s="72"/>
      <c r="T745" s="46"/>
      <c r="U745" s="47"/>
      <c r="V745" s="46"/>
      <c r="W745" s="100"/>
      <c r="X745" s="100"/>
      <c r="Y745" s="100"/>
      <c r="Z745" s="101"/>
      <c r="AA745" s="101"/>
      <c r="AB745" s="101"/>
      <c r="AC745" s="105"/>
      <c r="AD745" s="105"/>
      <c r="AE745" s="105"/>
      <c r="AF745" s="105"/>
      <c r="AG745" s="105"/>
      <c r="AH745" s="105"/>
    </row>
    <row r="746" spans="2:44" x14ac:dyDescent="0.15">
      <c r="B746" s="10" t="s">
        <v>197</v>
      </c>
      <c r="G746" s="11"/>
      <c r="K746" s="52"/>
      <c r="O746" s="52"/>
      <c r="W746" s="473"/>
      <c r="X746" s="473"/>
      <c r="Y746" s="102"/>
      <c r="Z746" s="102"/>
      <c r="AA746" s="102"/>
      <c r="AB746" s="102"/>
      <c r="AC746" s="105"/>
      <c r="AD746" s="105"/>
      <c r="AE746" s="105"/>
      <c r="AF746" s="105"/>
      <c r="AG746" s="105"/>
      <c r="AH746" s="105"/>
    </row>
    <row r="747" spans="2:44" ht="14.25" thickBot="1" x14ac:dyDescent="0.2">
      <c r="B747" s="10"/>
      <c r="C747" s="2" t="s">
        <v>198</v>
      </c>
      <c r="G747" s="11"/>
      <c r="K747" s="52"/>
      <c r="O747" s="52"/>
      <c r="W747" s="473"/>
      <c r="X747" s="473"/>
      <c r="Y747" s="78"/>
      <c r="Z747" s="78"/>
      <c r="AA747" s="78"/>
      <c r="AB747" s="78"/>
      <c r="AC747" s="105"/>
      <c r="AD747" s="105"/>
      <c r="AE747" s="105"/>
      <c r="AF747" s="105"/>
      <c r="AG747" s="105"/>
      <c r="AH747" s="105"/>
    </row>
    <row r="748" spans="2:44" ht="12.75" customHeight="1" x14ac:dyDescent="0.15">
      <c r="D748" s="91"/>
      <c r="E748" s="92"/>
      <c r="F748" s="92"/>
      <c r="G748" s="113"/>
      <c r="H748" s="444" t="s">
        <v>26</v>
      </c>
      <c r="I748" s="455"/>
      <c r="J748" s="455"/>
      <c r="K748" s="456"/>
      <c r="L748" s="467" t="s">
        <v>27</v>
      </c>
      <c r="M748" s="451"/>
      <c r="N748" s="451"/>
      <c r="O748" s="452"/>
      <c r="P748" s="399" t="s">
        <v>28</v>
      </c>
      <c r="Q748" s="386"/>
      <c r="R748" s="386"/>
      <c r="S748" s="387"/>
      <c r="W748" s="473"/>
      <c r="X748" s="473"/>
      <c r="Y748" s="102"/>
      <c r="Z748" s="102"/>
      <c r="AA748" s="102"/>
      <c r="AB748" s="102"/>
      <c r="AC748" s="105"/>
      <c r="AD748" s="105"/>
      <c r="AE748" s="105"/>
      <c r="AF748" s="105"/>
      <c r="AG748" s="105"/>
      <c r="AH748" s="105"/>
      <c r="AL748" s="5"/>
      <c r="AN748" s="1"/>
    </row>
    <row r="749" spans="2:44" ht="12.75" customHeight="1" x14ac:dyDescent="0.15">
      <c r="D749" s="93"/>
      <c r="E749" s="94"/>
      <c r="F749" s="94"/>
      <c r="G749" s="136"/>
      <c r="H749" s="371"/>
      <c r="I749" s="364" t="s">
        <v>29</v>
      </c>
      <c r="J749" s="364" t="s">
        <v>30</v>
      </c>
      <c r="K749" s="374" t="s">
        <v>31</v>
      </c>
      <c r="L749" s="14"/>
      <c r="M749" s="15" t="s">
        <v>29</v>
      </c>
      <c r="N749" s="15" t="s">
        <v>30</v>
      </c>
      <c r="O749" s="375" t="s">
        <v>31</v>
      </c>
      <c r="P749" s="372"/>
      <c r="Q749" s="364" t="s">
        <v>29</v>
      </c>
      <c r="R749" s="364" t="s">
        <v>30</v>
      </c>
      <c r="S749" s="375" t="s">
        <v>31</v>
      </c>
      <c r="W749" s="473"/>
      <c r="X749" s="473"/>
      <c r="Y749" s="78"/>
      <c r="Z749" s="78"/>
      <c r="AA749" s="78"/>
      <c r="AB749" s="78"/>
      <c r="AC749" s="105"/>
      <c r="AD749" s="105"/>
      <c r="AE749" s="105"/>
      <c r="AF749" s="105"/>
      <c r="AG749" s="105"/>
      <c r="AH749" s="105"/>
      <c r="AL749" s="5"/>
      <c r="AN749" s="1"/>
    </row>
    <row r="750" spans="2:44" ht="12.75" customHeight="1" x14ac:dyDescent="0.15">
      <c r="D750" s="457" t="s">
        <v>199</v>
      </c>
      <c r="E750" s="401"/>
      <c r="F750" s="401"/>
      <c r="G750" s="458"/>
      <c r="H750" s="54">
        <f>I750+J750+K750</f>
        <v>235</v>
      </c>
      <c r="I750" s="55">
        <v>25</v>
      </c>
      <c r="J750" s="55">
        <v>58</v>
      </c>
      <c r="K750" s="56">
        <v>152</v>
      </c>
      <c r="L750" s="54">
        <f>M750+N750+O750</f>
        <v>294</v>
      </c>
      <c r="M750" s="55">
        <v>27</v>
      </c>
      <c r="N750" s="55">
        <v>76</v>
      </c>
      <c r="O750" s="55">
        <v>191</v>
      </c>
      <c r="P750" s="55">
        <f>Q750+R750+S750</f>
        <v>319</v>
      </c>
      <c r="Q750" s="55">
        <v>39</v>
      </c>
      <c r="R750" s="55">
        <v>82</v>
      </c>
      <c r="S750" s="55">
        <v>198</v>
      </c>
      <c r="W750" s="473"/>
      <c r="X750" s="473"/>
      <c r="Y750" s="102"/>
      <c r="Z750" s="102"/>
      <c r="AA750" s="102"/>
      <c r="AB750" s="102"/>
      <c r="AC750" s="105"/>
      <c r="AD750" s="105"/>
      <c r="AE750" s="105"/>
      <c r="AF750" s="105"/>
      <c r="AG750" s="105"/>
      <c r="AH750" s="105"/>
      <c r="AL750" s="5"/>
      <c r="AN750" s="1"/>
    </row>
    <row r="751" spans="2:44" ht="12.75" customHeight="1" x14ac:dyDescent="0.15">
      <c r="D751" s="459"/>
      <c r="E751" s="403"/>
      <c r="F751" s="403"/>
      <c r="G751" s="460"/>
      <c r="H751" s="58">
        <f>ROUND(H750/(H$750+H$752+H$754+H$756+H$758+H$760+H$762+H$764+H$766),3)</f>
        <v>0.39400000000000002</v>
      </c>
      <c r="I751" s="59">
        <f>ROUND(I750/(I$750+I$752+I$754+I$756+I$758+I$760+I$762+I$764+I$766),3)-0.001</f>
        <v>0.39600000000000002</v>
      </c>
      <c r="J751" s="59">
        <f>ROUND(J750/(J$750+J$752+J$754+J$756+J$758+J$760+J$762+J$764+J$766),3)</f>
        <v>0.46</v>
      </c>
      <c r="K751" s="60">
        <f>ROUND(K750/(K$750+K$752+K$754+K$756+K$758+K$760+K$762+K$764+K$766),3)-0.001</f>
        <v>0.372</v>
      </c>
      <c r="L751" s="58">
        <f>ROUND(L750/(L$750+L$752+L$754+L$756+L$758+L$760+L$762+L$764+L$766),3)</f>
        <v>0.36199999999999999</v>
      </c>
      <c r="M751" s="59">
        <f>ROUND(M750/(M$750+M$752+M$754+M$756+M$758+M$760+M$762+M$764+M$766),3)-0.001</f>
        <v>0.374</v>
      </c>
      <c r="N751" s="59">
        <f>ROUND(N750/(N$750+N$752+N$754+N$756+N$758+N$760+N$762+N$764+N$766),3)</f>
        <v>0.33900000000000002</v>
      </c>
      <c r="O751" s="59">
        <f>ROUND(O750/(O$750+O$752+O$754+O$756+O$758+O$760+O$762+O$764+O$766),3)-0.001</f>
        <v>0.36799999999999999</v>
      </c>
      <c r="P751" s="59">
        <f>ROUND(P750/(P$750+P$752+P$754+P$756+P$758+P$760+P$762+P$764+P$766),3)</f>
        <v>0.375</v>
      </c>
      <c r="Q751" s="59">
        <f>ROUND(Q750/(Q$750+Q$752+Q$754+Q$756+Q$758+Q$760+Q$762+Q$764+Q$766),3)-0.001</f>
        <v>0.42799999999999999</v>
      </c>
      <c r="R751" s="59">
        <f>ROUND(R750/(R$750+R$752+R$754+R$756+R$758+R$760+R$762+R$764+R$766),3)</f>
        <v>0.34</v>
      </c>
      <c r="S751" s="59">
        <f>ROUND(S750/(S$750+S$752+S$754+S$756+S$758+S$760+S$762+S$764+S$766),3)-0.001</f>
        <v>0.38100000000000001</v>
      </c>
      <c r="W751" s="473"/>
      <c r="X751" s="473"/>
      <c r="Y751" s="78"/>
      <c r="Z751" s="78"/>
      <c r="AA751" s="78"/>
      <c r="AB751" s="78"/>
      <c r="AC751" s="105"/>
      <c r="AD751" s="105"/>
      <c r="AE751" s="105"/>
      <c r="AF751" s="105"/>
      <c r="AG751" s="105"/>
      <c r="AH751" s="105"/>
      <c r="AL751" s="5"/>
      <c r="AN751" s="1"/>
    </row>
    <row r="752" spans="2:44" ht="12.75" customHeight="1" x14ac:dyDescent="0.15">
      <c r="D752" s="457" t="s">
        <v>200</v>
      </c>
      <c r="E752" s="401"/>
      <c r="F752" s="401"/>
      <c r="G752" s="458"/>
      <c r="H752" s="54">
        <f>I752+J752+K752</f>
        <v>83</v>
      </c>
      <c r="I752" s="55">
        <v>14</v>
      </c>
      <c r="J752" s="55">
        <v>16</v>
      </c>
      <c r="K752" s="56">
        <v>53</v>
      </c>
      <c r="L752" s="54">
        <f>M752+N752+O752</f>
        <v>120</v>
      </c>
      <c r="M752" s="55">
        <v>19</v>
      </c>
      <c r="N752" s="55">
        <v>34</v>
      </c>
      <c r="O752" s="55">
        <v>67</v>
      </c>
      <c r="P752" s="55">
        <f>Q752+R752+S752</f>
        <v>128</v>
      </c>
      <c r="Q752" s="55">
        <v>26</v>
      </c>
      <c r="R752" s="55">
        <v>42</v>
      </c>
      <c r="S752" s="55">
        <v>60</v>
      </c>
      <c r="W752" s="473"/>
      <c r="X752" s="473"/>
      <c r="Y752" s="102"/>
      <c r="Z752" s="102"/>
      <c r="AA752" s="102"/>
      <c r="AB752" s="102"/>
      <c r="AC752" s="105"/>
      <c r="AD752" s="105"/>
      <c r="AE752" s="105"/>
      <c r="AF752" s="105"/>
      <c r="AG752" s="105"/>
      <c r="AH752" s="105"/>
      <c r="AL752" s="5"/>
      <c r="AN752" s="1"/>
    </row>
    <row r="753" spans="4:40" ht="12.75" customHeight="1" x14ac:dyDescent="0.15">
      <c r="D753" s="459"/>
      <c r="E753" s="403"/>
      <c r="F753" s="403"/>
      <c r="G753" s="460"/>
      <c r="H753" s="58">
        <f t="shared" ref="H753:S753" si="192">ROUND(H752/(H$750+H$752+H$754+H$756+H$758+H$760+H$762+H$764+H$766),3)</f>
        <v>0.13900000000000001</v>
      </c>
      <c r="I753" s="59">
        <f t="shared" si="192"/>
        <v>0.222</v>
      </c>
      <c r="J753" s="59">
        <f t="shared" si="192"/>
        <v>0.127</v>
      </c>
      <c r="K753" s="60">
        <f t="shared" si="192"/>
        <v>0.13</v>
      </c>
      <c r="L753" s="58">
        <f t="shared" si="192"/>
        <v>0.14799999999999999</v>
      </c>
      <c r="M753" s="59">
        <f t="shared" si="192"/>
        <v>0.26400000000000001</v>
      </c>
      <c r="N753" s="59">
        <f t="shared" si="192"/>
        <v>0.152</v>
      </c>
      <c r="O753" s="59">
        <f t="shared" si="192"/>
        <v>0.13</v>
      </c>
      <c r="P753" s="59">
        <f t="shared" si="192"/>
        <v>0.15</v>
      </c>
      <c r="Q753" s="59">
        <f t="shared" si="192"/>
        <v>0.28599999999999998</v>
      </c>
      <c r="R753" s="59">
        <f t="shared" si="192"/>
        <v>0.17399999999999999</v>
      </c>
      <c r="S753" s="59">
        <f t="shared" si="192"/>
        <v>0.11600000000000001</v>
      </c>
      <c r="W753" s="473"/>
      <c r="X753" s="473"/>
      <c r="Y753" s="78"/>
      <c r="Z753" s="78"/>
      <c r="AA753" s="78"/>
      <c r="AB753" s="78"/>
      <c r="AC753" s="105"/>
      <c r="AD753" s="105"/>
      <c r="AE753" s="105"/>
      <c r="AF753" s="105"/>
      <c r="AG753" s="105"/>
      <c r="AH753" s="105"/>
      <c r="AL753" s="5"/>
      <c r="AN753" s="1"/>
    </row>
    <row r="754" spans="4:40" ht="12.75" customHeight="1" x14ac:dyDescent="0.15">
      <c r="D754" s="457" t="s">
        <v>201</v>
      </c>
      <c r="E754" s="401"/>
      <c r="F754" s="401"/>
      <c r="G754" s="458"/>
      <c r="H754" s="54">
        <f>I754+J754+K754</f>
        <v>78</v>
      </c>
      <c r="I754" s="55">
        <v>4</v>
      </c>
      <c r="J754" s="55">
        <v>14</v>
      </c>
      <c r="K754" s="56">
        <v>60</v>
      </c>
      <c r="L754" s="54">
        <f>M754+N754+O754</f>
        <v>112</v>
      </c>
      <c r="M754" s="55">
        <v>4</v>
      </c>
      <c r="N754" s="55">
        <v>32</v>
      </c>
      <c r="O754" s="55">
        <v>76</v>
      </c>
      <c r="P754" s="55">
        <f>Q754+R754+S754</f>
        <v>115</v>
      </c>
      <c r="Q754" s="55">
        <v>5</v>
      </c>
      <c r="R754" s="55">
        <v>32</v>
      </c>
      <c r="S754" s="55">
        <v>78</v>
      </c>
      <c r="W754" s="473"/>
      <c r="X754" s="473"/>
      <c r="Y754" s="102"/>
      <c r="Z754" s="102"/>
      <c r="AA754" s="102"/>
      <c r="AB754" s="102"/>
      <c r="AC754" s="105"/>
      <c r="AD754" s="105"/>
      <c r="AE754" s="105"/>
      <c r="AF754" s="105"/>
      <c r="AG754" s="105"/>
      <c r="AH754" s="105"/>
      <c r="AL754" s="5"/>
      <c r="AN754" s="1"/>
    </row>
    <row r="755" spans="4:40" ht="12.75" customHeight="1" x14ac:dyDescent="0.15">
      <c r="D755" s="459"/>
      <c r="E755" s="403"/>
      <c r="F755" s="403"/>
      <c r="G755" s="460"/>
      <c r="H755" s="58">
        <f t="shared" ref="H755:S755" si="193">ROUND(H754/(H$750+H$752+H$754+H$756+H$758+H$760+H$762+H$764+H$766),3)</f>
        <v>0.13100000000000001</v>
      </c>
      <c r="I755" s="59">
        <f t="shared" si="193"/>
        <v>6.3E-2</v>
      </c>
      <c r="J755" s="59">
        <f t="shared" si="193"/>
        <v>0.111</v>
      </c>
      <c r="K755" s="60">
        <f t="shared" si="193"/>
        <v>0.14699999999999999</v>
      </c>
      <c r="L755" s="58">
        <f t="shared" si="193"/>
        <v>0.13800000000000001</v>
      </c>
      <c r="M755" s="59">
        <f t="shared" si="193"/>
        <v>5.6000000000000001E-2</v>
      </c>
      <c r="N755" s="59">
        <f t="shared" si="193"/>
        <v>0.14299999999999999</v>
      </c>
      <c r="O755" s="59">
        <f t="shared" si="193"/>
        <v>0.14699999999999999</v>
      </c>
      <c r="P755" s="59">
        <f t="shared" si="193"/>
        <v>0.13500000000000001</v>
      </c>
      <c r="Q755" s="59">
        <f t="shared" si="193"/>
        <v>5.5E-2</v>
      </c>
      <c r="R755" s="59">
        <f t="shared" si="193"/>
        <v>0.13300000000000001</v>
      </c>
      <c r="S755" s="59">
        <f t="shared" si="193"/>
        <v>0.15</v>
      </c>
      <c r="W755" s="473"/>
      <c r="X755" s="473"/>
      <c r="Y755" s="78"/>
      <c r="Z755" s="78"/>
      <c r="AA755" s="78"/>
      <c r="AB755" s="78"/>
      <c r="AC755" s="105"/>
      <c r="AD755" s="105"/>
      <c r="AE755" s="105"/>
      <c r="AF755" s="105"/>
      <c r="AG755" s="105"/>
      <c r="AH755" s="105"/>
      <c r="AL755" s="5"/>
      <c r="AN755" s="1"/>
    </row>
    <row r="756" spans="4:40" ht="12.75" customHeight="1" x14ac:dyDescent="0.15">
      <c r="D756" s="457" t="s">
        <v>202</v>
      </c>
      <c r="E756" s="401"/>
      <c r="F756" s="401"/>
      <c r="G756" s="458"/>
      <c r="H756" s="54">
        <f>I756+J756+K756</f>
        <v>64</v>
      </c>
      <c r="I756" s="55">
        <v>8</v>
      </c>
      <c r="J756" s="55">
        <v>11</v>
      </c>
      <c r="K756" s="56">
        <v>45</v>
      </c>
      <c r="L756" s="54">
        <f>M756+N756+O756</f>
        <v>99</v>
      </c>
      <c r="M756" s="55">
        <v>6</v>
      </c>
      <c r="N756" s="55">
        <v>33</v>
      </c>
      <c r="O756" s="55">
        <v>60</v>
      </c>
      <c r="P756" s="55">
        <f>Q756+R756+S756</f>
        <v>108</v>
      </c>
      <c r="Q756" s="55">
        <v>15</v>
      </c>
      <c r="R756" s="55">
        <v>36</v>
      </c>
      <c r="S756" s="55">
        <v>57</v>
      </c>
      <c r="W756" s="473"/>
      <c r="X756" s="473"/>
      <c r="Y756" s="102"/>
      <c r="Z756" s="102"/>
      <c r="AA756" s="102"/>
      <c r="AB756" s="102"/>
      <c r="AC756" s="105"/>
      <c r="AD756" s="105"/>
      <c r="AE756" s="105"/>
      <c r="AF756" s="105"/>
      <c r="AG756" s="105"/>
      <c r="AH756" s="105"/>
      <c r="AL756" s="5"/>
      <c r="AN756" s="1"/>
    </row>
    <row r="757" spans="4:40" ht="12.75" customHeight="1" x14ac:dyDescent="0.15">
      <c r="D757" s="459"/>
      <c r="E757" s="403"/>
      <c r="F757" s="403"/>
      <c r="G757" s="460"/>
      <c r="H757" s="58">
        <f t="shared" ref="H757:S757" si="194">ROUND(H756/(H$750+H$752+H$754+H$756+H$758+H$760+H$762+H$764+H$766),3)</f>
        <v>0.107</v>
      </c>
      <c r="I757" s="59">
        <f t="shared" si="194"/>
        <v>0.127</v>
      </c>
      <c r="J757" s="59">
        <f t="shared" si="194"/>
        <v>8.6999999999999994E-2</v>
      </c>
      <c r="K757" s="60">
        <f t="shared" si="194"/>
        <v>0.11</v>
      </c>
      <c r="L757" s="58">
        <f t="shared" si="194"/>
        <v>0.122</v>
      </c>
      <c r="M757" s="59">
        <f t="shared" si="194"/>
        <v>8.3000000000000004E-2</v>
      </c>
      <c r="N757" s="59">
        <f t="shared" si="194"/>
        <v>0.14699999999999999</v>
      </c>
      <c r="O757" s="59">
        <f t="shared" si="194"/>
        <v>0.11600000000000001</v>
      </c>
      <c r="P757" s="59">
        <f t="shared" si="194"/>
        <v>0.127</v>
      </c>
      <c r="Q757" s="59">
        <f t="shared" si="194"/>
        <v>0.16500000000000001</v>
      </c>
      <c r="R757" s="59">
        <f t="shared" si="194"/>
        <v>0.14899999999999999</v>
      </c>
      <c r="S757" s="59">
        <f t="shared" si="194"/>
        <v>0.11</v>
      </c>
      <c r="W757" s="473"/>
      <c r="X757" s="473"/>
      <c r="Y757" s="78"/>
      <c r="Z757" s="78"/>
      <c r="AA757" s="78"/>
      <c r="AB757" s="78"/>
      <c r="AC757" s="105"/>
      <c r="AD757" s="105"/>
      <c r="AE757" s="105"/>
      <c r="AF757" s="105"/>
      <c r="AG757" s="105"/>
      <c r="AH757" s="105"/>
      <c r="AL757" s="5"/>
      <c r="AN757" s="1"/>
    </row>
    <row r="758" spans="4:40" ht="12.75" customHeight="1" x14ac:dyDescent="0.15">
      <c r="D758" s="457" t="s">
        <v>203</v>
      </c>
      <c r="E758" s="401"/>
      <c r="F758" s="401"/>
      <c r="G758" s="458"/>
      <c r="H758" s="54">
        <f>I758+J758+K758</f>
        <v>17</v>
      </c>
      <c r="I758" s="55">
        <v>0</v>
      </c>
      <c r="J758" s="55">
        <v>3</v>
      </c>
      <c r="K758" s="56">
        <v>14</v>
      </c>
      <c r="L758" s="54">
        <f>M758+N758+O758</f>
        <v>46</v>
      </c>
      <c r="M758" s="55">
        <v>2</v>
      </c>
      <c r="N758" s="55">
        <v>8</v>
      </c>
      <c r="O758" s="55">
        <v>36</v>
      </c>
      <c r="P758" s="55">
        <f>Q758+R758+S758</f>
        <v>51</v>
      </c>
      <c r="Q758" s="55">
        <v>2</v>
      </c>
      <c r="R758" s="55">
        <v>13</v>
      </c>
      <c r="S758" s="55">
        <v>36</v>
      </c>
      <c r="W758" s="422"/>
      <c r="X758" s="422"/>
      <c r="Y758" s="102"/>
      <c r="Z758" s="102"/>
      <c r="AA758" s="102"/>
      <c r="AB758" s="102"/>
      <c r="AC758" s="105"/>
      <c r="AD758" s="105"/>
      <c r="AE758" s="105"/>
      <c r="AF758" s="105"/>
      <c r="AG758" s="105"/>
      <c r="AH758" s="105"/>
      <c r="AL758" s="5"/>
      <c r="AN758" s="1"/>
    </row>
    <row r="759" spans="4:40" ht="12.75" customHeight="1" x14ac:dyDescent="0.15">
      <c r="D759" s="459"/>
      <c r="E759" s="403"/>
      <c r="F759" s="403"/>
      <c r="G759" s="460"/>
      <c r="H759" s="58">
        <f t="shared" ref="H759:S759" si="195">ROUND(H758/(H$750+H$752+H$754+H$756+H$758+H$760+H$762+H$764+H$766),3)</f>
        <v>2.8000000000000001E-2</v>
      </c>
      <c r="I759" s="59">
        <f t="shared" si="195"/>
        <v>0</v>
      </c>
      <c r="J759" s="59">
        <f t="shared" si="195"/>
        <v>2.4E-2</v>
      </c>
      <c r="K759" s="60">
        <f t="shared" si="195"/>
        <v>3.4000000000000002E-2</v>
      </c>
      <c r="L759" s="58">
        <f t="shared" si="195"/>
        <v>5.7000000000000002E-2</v>
      </c>
      <c r="M759" s="59">
        <f t="shared" si="195"/>
        <v>2.8000000000000001E-2</v>
      </c>
      <c r="N759" s="59">
        <f t="shared" si="195"/>
        <v>3.5999999999999997E-2</v>
      </c>
      <c r="O759" s="59">
        <f t="shared" si="195"/>
        <v>7.0000000000000007E-2</v>
      </c>
      <c r="P759" s="59">
        <f t="shared" si="195"/>
        <v>0.06</v>
      </c>
      <c r="Q759" s="59">
        <f t="shared" si="195"/>
        <v>2.1999999999999999E-2</v>
      </c>
      <c r="R759" s="59">
        <f t="shared" si="195"/>
        <v>5.3999999999999999E-2</v>
      </c>
      <c r="S759" s="59">
        <f t="shared" si="195"/>
        <v>6.9000000000000006E-2</v>
      </c>
      <c r="W759" s="422"/>
      <c r="X759" s="422"/>
      <c r="Y759" s="78"/>
      <c r="Z759" s="78"/>
      <c r="AA759" s="78"/>
      <c r="AB759" s="78"/>
      <c r="AC759" s="105"/>
      <c r="AD759" s="105"/>
      <c r="AE759" s="105"/>
      <c r="AF759" s="105"/>
      <c r="AG759" s="105"/>
      <c r="AH759" s="105"/>
      <c r="AL759" s="5"/>
      <c r="AN759" s="1"/>
    </row>
    <row r="760" spans="4:40" ht="12.75" customHeight="1" x14ac:dyDescent="0.15">
      <c r="D760" s="457" t="s">
        <v>204</v>
      </c>
      <c r="E760" s="401"/>
      <c r="F760" s="401"/>
      <c r="G760" s="458"/>
      <c r="H760" s="54">
        <f>I760+J760+K760</f>
        <v>33</v>
      </c>
      <c r="I760" s="55">
        <v>1</v>
      </c>
      <c r="J760" s="55">
        <v>8</v>
      </c>
      <c r="K760" s="56">
        <v>24</v>
      </c>
      <c r="L760" s="54">
        <f>M760+N760+O760</f>
        <v>53</v>
      </c>
      <c r="M760" s="55">
        <v>2</v>
      </c>
      <c r="N760" s="55">
        <v>17</v>
      </c>
      <c r="O760" s="55">
        <v>34</v>
      </c>
      <c r="P760" s="55">
        <f>Q760+R760+S760</f>
        <v>46</v>
      </c>
      <c r="Q760" s="55">
        <v>0</v>
      </c>
      <c r="R760" s="55">
        <v>12</v>
      </c>
      <c r="S760" s="55">
        <v>34</v>
      </c>
      <c r="W760" s="105"/>
      <c r="X760" s="105"/>
      <c r="Y760" s="105"/>
      <c r="Z760" s="105"/>
      <c r="AA760" s="105"/>
      <c r="AB760" s="105"/>
      <c r="AC760" s="105"/>
      <c r="AD760" s="105"/>
      <c r="AE760" s="105"/>
      <c r="AF760" s="105"/>
      <c r="AG760" s="105"/>
      <c r="AH760" s="105"/>
      <c r="AL760" s="5"/>
      <c r="AN760" s="1"/>
    </row>
    <row r="761" spans="4:40" ht="12.75" customHeight="1" x14ac:dyDescent="0.15">
      <c r="D761" s="459"/>
      <c r="E761" s="403"/>
      <c r="F761" s="403"/>
      <c r="G761" s="460"/>
      <c r="H761" s="58">
        <f t="shared" ref="H761:S761" si="196">ROUND(H760/(H$750+H$752+H$754+H$756+H$758+H$760+H$762+H$764+H$766),3)</f>
        <v>5.5E-2</v>
      </c>
      <c r="I761" s="59">
        <f t="shared" si="196"/>
        <v>1.6E-2</v>
      </c>
      <c r="J761" s="59">
        <f t="shared" si="196"/>
        <v>6.3E-2</v>
      </c>
      <c r="K761" s="60">
        <f t="shared" si="196"/>
        <v>5.8999999999999997E-2</v>
      </c>
      <c r="L761" s="58">
        <f t="shared" si="196"/>
        <v>6.5000000000000002E-2</v>
      </c>
      <c r="M761" s="59">
        <f t="shared" si="196"/>
        <v>2.8000000000000001E-2</v>
      </c>
      <c r="N761" s="59">
        <f t="shared" si="196"/>
        <v>7.5999999999999998E-2</v>
      </c>
      <c r="O761" s="59">
        <f t="shared" si="196"/>
        <v>6.6000000000000003E-2</v>
      </c>
      <c r="P761" s="59">
        <f t="shared" si="196"/>
        <v>5.3999999999999999E-2</v>
      </c>
      <c r="Q761" s="59">
        <f t="shared" si="196"/>
        <v>0</v>
      </c>
      <c r="R761" s="59">
        <f t="shared" si="196"/>
        <v>0.05</v>
      </c>
      <c r="S761" s="59">
        <f t="shared" si="196"/>
        <v>6.6000000000000003E-2</v>
      </c>
      <c r="W761" s="105"/>
      <c r="X761" s="105"/>
      <c r="Y761" s="105"/>
      <c r="Z761" s="105"/>
      <c r="AA761" s="105"/>
      <c r="AB761" s="105"/>
      <c r="AC761" s="105"/>
      <c r="AD761" s="105"/>
      <c r="AE761" s="105"/>
      <c r="AF761" s="105"/>
      <c r="AG761" s="105"/>
      <c r="AH761" s="105"/>
      <c r="AL761" s="5"/>
      <c r="AN761" s="1"/>
    </row>
    <row r="762" spans="4:40" ht="12.75" customHeight="1" x14ac:dyDescent="0.15">
      <c r="D762" s="457" t="s">
        <v>205</v>
      </c>
      <c r="E762" s="401"/>
      <c r="F762" s="401"/>
      <c r="G762" s="458"/>
      <c r="H762" s="54">
        <f>I762+J762+K762</f>
        <v>53</v>
      </c>
      <c r="I762" s="55">
        <v>8</v>
      </c>
      <c r="J762" s="55">
        <v>8</v>
      </c>
      <c r="K762" s="56">
        <v>37</v>
      </c>
      <c r="L762" s="54">
        <f>M762+N762+O762</f>
        <v>44</v>
      </c>
      <c r="M762" s="55">
        <v>9</v>
      </c>
      <c r="N762" s="55">
        <v>12</v>
      </c>
      <c r="O762" s="55">
        <v>23</v>
      </c>
      <c r="P762" s="55">
        <f>Q762+R762+S762</f>
        <v>44</v>
      </c>
      <c r="Q762" s="55">
        <v>4</v>
      </c>
      <c r="R762" s="55">
        <v>13</v>
      </c>
      <c r="S762" s="55">
        <v>27</v>
      </c>
      <c r="W762" s="105"/>
      <c r="X762" s="105"/>
      <c r="Y762" s="105"/>
      <c r="Z762" s="105"/>
      <c r="AA762" s="105"/>
      <c r="AB762" s="105"/>
      <c r="AC762" s="105"/>
      <c r="AD762" s="105"/>
      <c r="AE762" s="105"/>
      <c r="AF762" s="105"/>
      <c r="AG762" s="105"/>
      <c r="AH762" s="105"/>
      <c r="AL762" s="5"/>
      <c r="AN762" s="1"/>
    </row>
    <row r="763" spans="4:40" ht="12.75" customHeight="1" x14ac:dyDescent="0.15">
      <c r="D763" s="459"/>
      <c r="E763" s="403"/>
      <c r="F763" s="403"/>
      <c r="G763" s="460"/>
      <c r="H763" s="58">
        <f t="shared" ref="H763:S763" si="197">ROUND(H762/(H$750+H$752+H$754+H$756+H$758+H$760+H$762+H$764+H$766),3)</f>
        <v>8.8999999999999996E-2</v>
      </c>
      <c r="I763" s="59">
        <f t="shared" si="197"/>
        <v>0.127</v>
      </c>
      <c r="J763" s="59">
        <f t="shared" si="197"/>
        <v>6.3E-2</v>
      </c>
      <c r="K763" s="60">
        <f t="shared" si="197"/>
        <v>9.0999999999999998E-2</v>
      </c>
      <c r="L763" s="58">
        <f t="shared" si="197"/>
        <v>5.3999999999999999E-2</v>
      </c>
      <c r="M763" s="59">
        <f t="shared" si="197"/>
        <v>0.125</v>
      </c>
      <c r="N763" s="59">
        <f t="shared" si="197"/>
        <v>5.3999999999999999E-2</v>
      </c>
      <c r="O763" s="59">
        <f t="shared" si="197"/>
        <v>4.3999999999999997E-2</v>
      </c>
      <c r="P763" s="59">
        <f t="shared" si="197"/>
        <v>5.1999999999999998E-2</v>
      </c>
      <c r="Q763" s="59">
        <f t="shared" si="197"/>
        <v>4.3999999999999997E-2</v>
      </c>
      <c r="R763" s="59">
        <f t="shared" si="197"/>
        <v>5.3999999999999999E-2</v>
      </c>
      <c r="S763" s="59">
        <f t="shared" si="197"/>
        <v>5.1999999999999998E-2</v>
      </c>
      <c r="W763" s="105"/>
      <c r="X763" s="105"/>
      <c r="Y763" s="105"/>
      <c r="Z763" s="105"/>
      <c r="AA763" s="105"/>
      <c r="AB763" s="105"/>
      <c r="AC763" s="105"/>
      <c r="AD763" s="105"/>
      <c r="AE763" s="105"/>
      <c r="AF763" s="105"/>
      <c r="AG763" s="105"/>
      <c r="AH763" s="105"/>
      <c r="AL763" s="5"/>
      <c r="AN763" s="1"/>
    </row>
    <row r="764" spans="4:40" ht="12.75" customHeight="1" x14ac:dyDescent="0.15">
      <c r="D764" s="457" t="s">
        <v>206</v>
      </c>
      <c r="E764" s="401"/>
      <c r="F764" s="401"/>
      <c r="G764" s="458"/>
      <c r="H764" s="54">
        <f>I764+J764+K764</f>
        <v>19</v>
      </c>
      <c r="I764" s="55">
        <v>0</v>
      </c>
      <c r="J764" s="55">
        <v>6</v>
      </c>
      <c r="K764" s="56">
        <v>13</v>
      </c>
      <c r="L764" s="54">
        <f>M764+N764+O764</f>
        <v>28</v>
      </c>
      <c r="M764" s="55">
        <v>1</v>
      </c>
      <c r="N764" s="55">
        <v>8</v>
      </c>
      <c r="O764" s="55">
        <v>19</v>
      </c>
      <c r="P764" s="55">
        <f>Q764+R764+S764</f>
        <v>25</v>
      </c>
      <c r="Q764" s="55">
        <v>0</v>
      </c>
      <c r="R764" s="55">
        <v>5</v>
      </c>
      <c r="S764" s="55">
        <v>20</v>
      </c>
      <c r="W764" s="105"/>
      <c r="X764" s="105"/>
      <c r="Y764" s="105"/>
      <c r="Z764" s="105"/>
      <c r="AA764" s="105"/>
      <c r="AB764" s="105"/>
      <c r="AC764" s="105"/>
      <c r="AD764" s="105"/>
      <c r="AE764" s="105"/>
      <c r="AF764" s="105"/>
      <c r="AG764" s="105"/>
      <c r="AH764" s="105"/>
      <c r="AL764" s="5"/>
      <c r="AN764" s="1"/>
    </row>
    <row r="765" spans="4:40" ht="12.75" customHeight="1" x14ac:dyDescent="0.15">
      <c r="D765" s="459"/>
      <c r="E765" s="403"/>
      <c r="F765" s="403"/>
      <c r="G765" s="460"/>
      <c r="H765" s="58">
        <f t="shared" ref="H765:S765" si="198">ROUND(H764/(H$750+H$752+H$754+H$756+H$758+H$760+H$762+H$764+H$766),3)</f>
        <v>3.2000000000000001E-2</v>
      </c>
      <c r="I765" s="59">
        <f t="shared" si="198"/>
        <v>0</v>
      </c>
      <c r="J765" s="59">
        <f t="shared" si="198"/>
        <v>4.8000000000000001E-2</v>
      </c>
      <c r="K765" s="60">
        <f t="shared" si="198"/>
        <v>3.2000000000000001E-2</v>
      </c>
      <c r="L765" s="58">
        <f t="shared" si="198"/>
        <v>3.4000000000000002E-2</v>
      </c>
      <c r="M765" s="59">
        <f t="shared" si="198"/>
        <v>1.4E-2</v>
      </c>
      <c r="N765" s="59">
        <f t="shared" si="198"/>
        <v>3.5999999999999997E-2</v>
      </c>
      <c r="O765" s="59">
        <f t="shared" si="198"/>
        <v>3.6999999999999998E-2</v>
      </c>
      <c r="P765" s="59">
        <f t="shared" si="198"/>
        <v>2.9000000000000001E-2</v>
      </c>
      <c r="Q765" s="59">
        <f t="shared" si="198"/>
        <v>0</v>
      </c>
      <c r="R765" s="59">
        <f t="shared" si="198"/>
        <v>2.1000000000000001E-2</v>
      </c>
      <c r="S765" s="59">
        <f t="shared" si="198"/>
        <v>3.9E-2</v>
      </c>
      <c r="W765" s="105"/>
      <c r="X765" s="105"/>
      <c r="Y765" s="105"/>
      <c r="Z765" s="105"/>
      <c r="AA765" s="105"/>
      <c r="AB765" s="105"/>
      <c r="AC765" s="105"/>
      <c r="AD765" s="105"/>
      <c r="AE765" s="105"/>
      <c r="AF765" s="105"/>
      <c r="AG765" s="105"/>
      <c r="AH765" s="105"/>
      <c r="AL765" s="5"/>
      <c r="AN765" s="1"/>
    </row>
    <row r="766" spans="4:40" ht="12.75" customHeight="1" x14ac:dyDescent="0.15">
      <c r="D766" s="457" t="s">
        <v>121</v>
      </c>
      <c r="E766" s="401"/>
      <c r="F766" s="401"/>
      <c r="G766" s="458"/>
      <c r="H766" s="54">
        <f>I766+J766+K766</f>
        <v>15</v>
      </c>
      <c r="I766" s="55">
        <v>3</v>
      </c>
      <c r="J766" s="55">
        <v>2</v>
      </c>
      <c r="K766" s="56">
        <v>10</v>
      </c>
      <c r="L766" s="54">
        <f>M766+N766+O766</f>
        <v>17</v>
      </c>
      <c r="M766" s="55">
        <v>2</v>
      </c>
      <c r="N766" s="55">
        <v>4</v>
      </c>
      <c r="O766" s="55">
        <v>11</v>
      </c>
      <c r="P766" s="55">
        <f>Q766+R766+S766</f>
        <v>15</v>
      </c>
      <c r="Q766" s="55">
        <v>0</v>
      </c>
      <c r="R766" s="55">
        <v>6</v>
      </c>
      <c r="S766" s="55">
        <v>9</v>
      </c>
      <c r="W766" s="105"/>
      <c r="X766" s="105"/>
      <c r="Y766" s="105"/>
      <c r="Z766" s="105"/>
      <c r="AA766" s="105"/>
      <c r="AB766" s="105"/>
      <c r="AC766" s="105"/>
      <c r="AD766" s="105"/>
      <c r="AE766" s="105"/>
      <c r="AF766" s="105"/>
      <c r="AG766" s="105"/>
      <c r="AH766" s="105"/>
      <c r="AL766" s="5"/>
      <c r="AN766" s="1"/>
    </row>
    <row r="767" spans="4:40" ht="12.75" customHeight="1" x14ac:dyDescent="0.15">
      <c r="D767" s="459"/>
      <c r="E767" s="403"/>
      <c r="F767" s="403"/>
      <c r="G767" s="460"/>
      <c r="H767" s="58">
        <f t="shared" ref="H767:S767" si="199">ROUND(H766/(H$750+H$752+H$754+H$756+H$758+H$760+H$762+H$764+H$766),3)</f>
        <v>2.5000000000000001E-2</v>
      </c>
      <c r="I767" s="59">
        <f t="shared" si="199"/>
        <v>4.8000000000000001E-2</v>
      </c>
      <c r="J767" s="59">
        <f t="shared" si="199"/>
        <v>1.6E-2</v>
      </c>
      <c r="K767" s="60">
        <f t="shared" si="199"/>
        <v>2.5000000000000001E-2</v>
      </c>
      <c r="L767" s="58">
        <f t="shared" si="199"/>
        <v>2.1000000000000001E-2</v>
      </c>
      <c r="M767" s="59">
        <f t="shared" si="199"/>
        <v>2.8000000000000001E-2</v>
      </c>
      <c r="N767" s="59">
        <f t="shared" si="199"/>
        <v>1.7999999999999999E-2</v>
      </c>
      <c r="O767" s="59">
        <f t="shared" si="199"/>
        <v>2.1000000000000001E-2</v>
      </c>
      <c r="P767" s="59">
        <f t="shared" si="199"/>
        <v>1.7999999999999999E-2</v>
      </c>
      <c r="Q767" s="59">
        <f t="shared" si="199"/>
        <v>0</v>
      </c>
      <c r="R767" s="59">
        <f t="shared" si="199"/>
        <v>2.5000000000000001E-2</v>
      </c>
      <c r="S767" s="59">
        <f t="shared" si="199"/>
        <v>1.7000000000000001E-2</v>
      </c>
      <c r="W767" s="105"/>
      <c r="X767" s="105"/>
      <c r="Y767" s="105"/>
      <c r="Z767" s="105"/>
      <c r="AA767" s="105"/>
      <c r="AB767" s="105"/>
      <c r="AC767" s="105"/>
      <c r="AD767" s="105"/>
      <c r="AE767" s="105"/>
      <c r="AF767" s="105"/>
      <c r="AG767" s="105"/>
      <c r="AH767" s="105"/>
      <c r="AL767" s="5"/>
      <c r="AN767" s="1"/>
    </row>
    <row r="768" spans="4:40" ht="12.75" customHeight="1" x14ac:dyDescent="0.15">
      <c r="D768" s="457" t="s">
        <v>57</v>
      </c>
      <c r="E768" s="401"/>
      <c r="F768" s="401"/>
      <c r="G768" s="458"/>
      <c r="H768" s="467" t="s">
        <v>41</v>
      </c>
      <c r="I768" s="471" t="s">
        <v>41</v>
      </c>
      <c r="J768" s="471" t="s">
        <v>41</v>
      </c>
      <c r="K768" s="468" t="s">
        <v>41</v>
      </c>
      <c r="L768" s="467" t="s">
        <v>41</v>
      </c>
      <c r="M768" s="471" t="s">
        <v>41</v>
      </c>
      <c r="N768" s="471" t="s">
        <v>41</v>
      </c>
      <c r="O768" s="471" t="s">
        <v>41</v>
      </c>
      <c r="P768" s="370" t="s">
        <v>41</v>
      </c>
      <c r="Q768" s="368" t="s">
        <v>41</v>
      </c>
      <c r="R768" s="368" t="s">
        <v>41</v>
      </c>
      <c r="S768" s="368" t="s">
        <v>41</v>
      </c>
      <c r="W768" s="105"/>
      <c r="X768" s="105"/>
      <c r="Y768" s="105"/>
      <c r="Z768" s="105"/>
      <c r="AA768" s="105"/>
      <c r="AB768" s="105"/>
      <c r="AC768" s="105"/>
      <c r="AD768" s="105"/>
      <c r="AE768" s="105"/>
      <c r="AF768" s="105"/>
      <c r="AG768" s="105"/>
      <c r="AH768" s="105"/>
      <c r="AL768" s="5"/>
      <c r="AN768" s="1"/>
    </row>
    <row r="769" spans="2:40" ht="12.75" customHeight="1" x14ac:dyDescent="0.15">
      <c r="D769" s="459"/>
      <c r="E769" s="403"/>
      <c r="F769" s="403"/>
      <c r="G769" s="460"/>
      <c r="H769" s="470"/>
      <c r="I769" s="472"/>
      <c r="J769" s="472"/>
      <c r="K769" s="469"/>
      <c r="L769" s="470"/>
      <c r="M769" s="472"/>
      <c r="N769" s="472"/>
      <c r="O769" s="472"/>
      <c r="P769" s="372"/>
      <c r="Q769" s="369"/>
      <c r="R769" s="369"/>
      <c r="S769" s="369"/>
      <c r="W769" s="105"/>
      <c r="X769" s="105"/>
      <c r="Y769" s="105"/>
      <c r="Z769" s="105"/>
      <c r="AA769" s="105"/>
      <c r="AB769" s="105"/>
      <c r="AC769" s="105"/>
      <c r="AD769" s="105"/>
      <c r="AE769" s="105"/>
      <c r="AF769" s="105"/>
      <c r="AG769" s="105"/>
      <c r="AH769" s="105"/>
      <c r="AL769" s="5"/>
      <c r="AN769" s="1"/>
    </row>
    <row r="770" spans="2:40" ht="12.75" customHeight="1" x14ac:dyDescent="0.15">
      <c r="D770" s="399" t="s">
        <v>53</v>
      </c>
      <c r="E770" s="386"/>
      <c r="F770" s="386"/>
      <c r="G770" s="453"/>
      <c r="H770" s="54">
        <f t="shared" ref="H770:S771" si="200">H750+H752+H754+H756+H758+H760+H762+H764+H766</f>
        <v>597</v>
      </c>
      <c r="I770" s="55">
        <f t="shared" si="200"/>
        <v>63</v>
      </c>
      <c r="J770" s="55">
        <f t="shared" si="200"/>
        <v>126</v>
      </c>
      <c r="K770" s="56">
        <f t="shared" si="200"/>
        <v>408</v>
      </c>
      <c r="L770" s="54">
        <f t="shared" si="200"/>
        <v>813</v>
      </c>
      <c r="M770" s="55">
        <f t="shared" si="200"/>
        <v>72</v>
      </c>
      <c r="N770" s="55">
        <f t="shared" si="200"/>
        <v>224</v>
      </c>
      <c r="O770" s="55">
        <f t="shared" si="200"/>
        <v>517</v>
      </c>
      <c r="P770" s="55">
        <f t="shared" si="200"/>
        <v>851</v>
      </c>
      <c r="Q770" s="55">
        <f t="shared" si="200"/>
        <v>91</v>
      </c>
      <c r="R770" s="55">
        <f t="shared" si="200"/>
        <v>241</v>
      </c>
      <c r="S770" s="55">
        <f t="shared" si="200"/>
        <v>519</v>
      </c>
      <c r="W770" s="105"/>
      <c r="X770" s="105"/>
      <c r="Y770" s="105"/>
      <c r="Z770" s="105"/>
      <c r="AA770" s="105"/>
      <c r="AB770" s="105"/>
      <c r="AC770" s="105"/>
      <c r="AD770" s="105"/>
      <c r="AE770" s="105"/>
      <c r="AF770" s="105"/>
      <c r="AG770" s="105"/>
      <c r="AH770" s="105"/>
      <c r="AL770" s="5"/>
      <c r="AN770" s="1"/>
    </row>
    <row r="771" spans="2:40" ht="12.75" customHeight="1" thickBot="1" x14ac:dyDescent="0.2">
      <c r="D771" s="400"/>
      <c r="E771" s="443"/>
      <c r="F771" s="443"/>
      <c r="G771" s="454"/>
      <c r="H771" s="65">
        <f t="shared" si="200"/>
        <v>1</v>
      </c>
      <c r="I771" s="66">
        <f t="shared" si="200"/>
        <v>0.99900000000000011</v>
      </c>
      <c r="J771" s="66">
        <f t="shared" si="200"/>
        <v>0.99899999999999989</v>
      </c>
      <c r="K771" s="67">
        <f t="shared" si="200"/>
        <v>1</v>
      </c>
      <c r="L771" s="68">
        <f t="shared" si="200"/>
        <v>1.0010000000000001</v>
      </c>
      <c r="M771" s="69">
        <f t="shared" si="200"/>
        <v>1</v>
      </c>
      <c r="N771" s="69">
        <f t="shared" si="200"/>
        <v>1.0010000000000001</v>
      </c>
      <c r="O771" s="69">
        <f t="shared" si="200"/>
        <v>0.99900000000000011</v>
      </c>
      <c r="P771" s="69">
        <f t="shared" si="200"/>
        <v>1</v>
      </c>
      <c r="Q771" s="69">
        <f t="shared" si="200"/>
        <v>1</v>
      </c>
      <c r="R771" s="69">
        <f t="shared" si="200"/>
        <v>1.0000000000000002</v>
      </c>
      <c r="S771" s="69">
        <f t="shared" si="200"/>
        <v>1.0000000000000002</v>
      </c>
      <c r="W771" s="105"/>
      <c r="X771" s="105"/>
      <c r="Y771" s="105"/>
      <c r="Z771" s="105"/>
      <c r="AA771" s="105"/>
      <c r="AB771" s="105"/>
      <c r="AC771" s="105"/>
      <c r="AD771" s="105"/>
      <c r="AE771" s="105"/>
      <c r="AF771" s="105"/>
      <c r="AG771" s="105"/>
      <c r="AH771" s="105"/>
      <c r="AL771" s="5"/>
      <c r="AN771" s="1"/>
    </row>
    <row r="772" spans="2:40" x14ac:dyDescent="0.15">
      <c r="D772" s="100"/>
      <c r="E772" s="100"/>
      <c r="F772" s="90"/>
      <c r="G772" s="90"/>
      <c r="H772" s="90"/>
      <c r="I772" s="90"/>
      <c r="J772" s="78"/>
      <c r="K772" s="78"/>
      <c r="L772" s="78"/>
      <c r="M772" s="78"/>
      <c r="N772" s="78"/>
      <c r="O772" s="78"/>
      <c r="P772" s="78"/>
      <c r="Q772" s="78"/>
      <c r="R772" s="72"/>
      <c r="S772" s="72"/>
      <c r="V772" s="46"/>
      <c r="W772" s="52"/>
      <c r="X772" s="105"/>
      <c r="Y772" s="105"/>
      <c r="Z772" s="105"/>
      <c r="AA772" s="105"/>
      <c r="AB772" s="105"/>
      <c r="AC772" s="105"/>
      <c r="AD772" s="105"/>
      <c r="AE772" s="105"/>
      <c r="AF772" s="105"/>
      <c r="AG772" s="105"/>
      <c r="AH772" s="105"/>
    </row>
    <row r="773" spans="2:40" x14ac:dyDescent="0.15">
      <c r="D773" s="100"/>
      <c r="E773" s="100"/>
      <c r="F773" s="90"/>
      <c r="G773" s="90"/>
      <c r="H773" s="90"/>
      <c r="I773" s="90"/>
      <c r="J773" s="78"/>
      <c r="K773" s="78"/>
      <c r="L773" s="78"/>
      <c r="M773" s="78"/>
      <c r="N773" s="78"/>
      <c r="O773" s="78"/>
      <c r="P773" s="78"/>
      <c r="Q773" s="78"/>
      <c r="R773" s="72"/>
      <c r="S773" s="72"/>
      <c r="V773" s="46"/>
      <c r="W773" s="52"/>
      <c r="X773" s="105"/>
      <c r="Y773" s="105"/>
      <c r="Z773" s="105"/>
      <c r="AA773" s="105"/>
      <c r="AB773" s="105"/>
      <c r="AC773" s="105"/>
      <c r="AD773" s="105"/>
      <c r="AE773" s="105"/>
      <c r="AF773" s="105"/>
      <c r="AG773" s="105"/>
      <c r="AH773" s="105"/>
    </row>
    <row r="774" spans="2:40" x14ac:dyDescent="0.15">
      <c r="D774" s="100"/>
      <c r="E774" s="100"/>
      <c r="F774" s="90"/>
      <c r="G774" s="90"/>
      <c r="H774" s="90"/>
      <c r="I774" s="90"/>
      <c r="J774" s="78"/>
      <c r="K774" s="78"/>
      <c r="L774" s="78"/>
      <c r="M774" s="78"/>
      <c r="N774" s="78"/>
      <c r="O774" s="78"/>
      <c r="P774" s="78"/>
      <c r="Q774" s="78"/>
      <c r="R774" s="72"/>
      <c r="S774" s="72"/>
      <c r="V774" s="46"/>
      <c r="W774" s="52"/>
      <c r="X774" s="105"/>
      <c r="Y774" s="105"/>
      <c r="Z774" s="105"/>
      <c r="AA774" s="105"/>
      <c r="AB774" s="105"/>
      <c r="AC774" s="105"/>
      <c r="AD774" s="105"/>
      <c r="AE774" s="105"/>
      <c r="AF774" s="105"/>
      <c r="AG774" s="105"/>
      <c r="AH774" s="105"/>
    </row>
    <row r="775" spans="2:40" s="129" customFormat="1" x14ac:dyDescent="0.15">
      <c r="B775" s="125"/>
      <c r="C775" s="125"/>
      <c r="D775" s="100"/>
      <c r="E775" s="100"/>
      <c r="F775" s="138"/>
      <c r="G775" s="138"/>
      <c r="H775" s="138"/>
      <c r="I775" s="138"/>
      <c r="J775" s="139"/>
      <c r="K775" s="139"/>
      <c r="L775" s="139"/>
      <c r="M775" s="139"/>
      <c r="N775" s="139"/>
      <c r="O775" s="139"/>
      <c r="P775" s="139"/>
      <c r="Q775" s="139"/>
      <c r="R775" s="140"/>
      <c r="S775" s="140"/>
      <c r="T775" s="1"/>
      <c r="U775" s="4"/>
      <c r="V775" s="141"/>
      <c r="W775" s="48"/>
      <c r="X775" s="142"/>
      <c r="Y775" s="142"/>
      <c r="Z775" s="142"/>
      <c r="AA775" s="142"/>
      <c r="AB775" s="142"/>
      <c r="AC775" s="142"/>
      <c r="AD775" s="142"/>
      <c r="AE775" s="142"/>
      <c r="AF775" s="142"/>
      <c r="AG775" s="142"/>
      <c r="AH775" s="142"/>
      <c r="AN775" s="5"/>
    </row>
    <row r="776" spans="2:40" x14ac:dyDescent="0.15">
      <c r="D776" s="100"/>
      <c r="E776" s="100"/>
      <c r="F776" s="90"/>
      <c r="G776" s="90"/>
      <c r="H776" s="90"/>
      <c r="I776" s="90"/>
      <c r="J776" s="78"/>
      <c r="K776" s="78"/>
      <c r="L776" s="78"/>
      <c r="M776" s="78"/>
      <c r="N776" s="78"/>
      <c r="O776" s="78"/>
      <c r="P776" s="78"/>
      <c r="Q776" s="78"/>
      <c r="R776" s="72"/>
      <c r="S776" s="72"/>
      <c r="T776" s="46"/>
      <c r="U776" s="47"/>
      <c r="V776" s="46"/>
      <c r="W776" s="52"/>
      <c r="X776" s="105"/>
      <c r="Y776" s="105"/>
      <c r="Z776" s="105"/>
      <c r="AA776" s="105"/>
      <c r="AB776" s="105"/>
      <c r="AC776" s="105"/>
      <c r="AD776" s="105"/>
      <c r="AE776" s="105"/>
      <c r="AF776" s="105"/>
      <c r="AG776" s="105"/>
      <c r="AH776" s="105"/>
    </row>
    <row r="777" spans="2:40" x14ac:dyDescent="0.15">
      <c r="D777" s="100"/>
      <c r="E777" s="100"/>
      <c r="F777" s="90"/>
      <c r="G777" s="90"/>
      <c r="H777" s="90"/>
      <c r="I777" s="90"/>
      <c r="J777" s="78"/>
      <c r="K777" s="78"/>
      <c r="L777" s="78"/>
      <c r="M777" s="78"/>
      <c r="N777" s="78"/>
      <c r="O777" s="78"/>
      <c r="P777" s="78"/>
      <c r="Q777" s="78"/>
      <c r="R777" s="72"/>
      <c r="S777" s="72"/>
      <c r="T777" s="46"/>
      <c r="U777" s="47"/>
      <c r="V777" s="46"/>
      <c r="W777" s="52"/>
      <c r="X777" s="105"/>
      <c r="Y777" s="105"/>
      <c r="Z777" s="105"/>
      <c r="AA777" s="105"/>
      <c r="AB777" s="105"/>
      <c r="AC777" s="105"/>
      <c r="AD777" s="105"/>
      <c r="AE777" s="105"/>
      <c r="AF777" s="105"/>
      <c r="AG777" s="105"/>
      <c r="AH777" s="105"/>
    </row>
    <row r="778" spans="2:40" x14ac:dyDescent="0.15">
      <c r="D778" s="100"/>
      <c r="E778" s="100"/>
      <c r="F778" s="90"/>
      <c r="G778" s="90"/>
      <c r="H778" s="90"/>
      <c r="I778" s="90"/>
      <c r="J778" s="78"/>
      <c r="K778" s="78"/>
      <c r="L778" s="78"/>
      <c r="M778" s="78"/>
      <c r="N778" s="78"/>
      <c r="O778" s="78"/>
      <c r="P778" s="78"/>
      <c r="Q778" s="78"/>
      <c r="R778" s="72"/>
      <c r="S778" s="72"/>
      <c r="T778" s="46" t="s">
        <v>199</v>
      </c>
      <c r="U778" s="47">
        <v>235</v>
      </c>
      <c r="V778" s="46"/>
      <c r="W778" s="52"/>
      <c r="X778" s="105"/>
      <c r="Y778" s="105"/>
      <c r="Z778" s="105"/>
      <c r="AA778" s="105"/>
      <c r="AB778" s="105"/>
      <c r="AC778" s="105"/>
      <c r="AD778" s="105"/>
      <c r="AE778" s="105"/>
      <c r="AF778" s="105"/>
      <c r="AG778" s="105"/>
      <c r="AH778" s="105"/>
    </row>
    <row r="779" spans="2:40" x14ac:dyDescent="0.15">
      <c r="D779" s="100"/>
      <c r="E779" s="100"/>
      <c r="F779" s="90"/>
      <c r="G779" s="90"/>
      <c r="H779" s="90"/>
      <c r="I779" s="90"/>
      <c r="J779" s="78"/>
      <c r="K779" s="78"/>
      <c r="L779" s="78"/>
      <c r="M779" s="78"/>
      <c r="N779" s="78"/>
      <c r="O779" s="78"/>
      <c r="P779" s="78"/>
      <c r="Q779" s="78"/>
      <c r="R779" s="72"/>
      <c r="S779" s="72"/>
      <c r="T779" s="141" t="s">
        <v>207</v>
      </c>
      <c r="U779" s="143">
        <v>83</v>
      </c>
      <c r="V779" s="46"/>
      <c r="W779" s="52"/>
      <c r="X779" s="105"/>
      <c r="Y779" s="105"/>
      <c r="Z779" s="105"/>
      <c r="AA779" s="105"/>
      <c r="AB779" s="105"/>
      <c r="AC779" s="105"/>
      <c r="AD779" s="105"/>
      <c r="AE779" s="105"/>
      <c r="AF779" s="105"/>
      <c r="AG779" s="105"/>
      <c r="AH779" s="105"/>
    </row>
    <row r="780" spans="2:40" x14ac:dyDescent="0.15">
      <c r="D780" s="100"/>
      <c r="E780" s="100"/>
      <c r="F780" s="90"/>
      <c r="G780" s="90"/>
      <c r="H780" s="90"/>
      <c r="I780" s="90"/>
      <c r="J780" s="78"/>
      <c r="K780" s="78"/>
      <c r="L780" s="78"/>
      <c r="M780" s="78"/>
      <c r="N780" s="78"/>
      <c r="O780" s="78"/>
      <c r="P780" s="78"/>
      <c r="Q780" s="78"/>
      <c r="R780" s="72"/>
      <c r="S780" s="72"/>
      <c r="T780" s="46" t="s">
        <v>201</v>
      </c>
      <c r="U780" s="47">
        <v>78</v>
      </c>
      <c r="V780" s="46"/>
      <c r="W780" s="52"/>
      <c r="X780" s="105"/>
      <c r="Y780" s="105"/>
      <c r="Z780" s="105"/>
      <c r="AA780" s="105"/>
      <c r="AB780" s="105"/>
      <c r="AC780" s="105"/>
      <c r="AD780" s="105"/>
      <c r="AE780" s="105"/>
      <c r="AF780" s="105"/>
      <c r="AG780" s="105"/>
      <c r="AH780" s="105"/>
    </row>
    <row r="781" spans="2:40" x14ac:dyDescent="0.15">
      <c r="D781" s="100"/>
      <c r="E781" s="100"/>
      <c r="F781" s="90"/>
      <c r="G781" s="90"/>
      <c r="H781" s="90"/>
      <c r="I781" s="90"/>
      <c r="J781" s="78"/>
      <c r="K781" s="78"/>
      <c r="L781" s="78"/>
      <c r="M781" s="78"/>
      <c r="N781" s="78"/>
      <c r="O781" s="78"/>
      <c r="P781" s="78"/>
      <c r="Q781" s="78"/>
      <c r="R781" s="72"/>
      <c r="S781" s="72"/>
      <c r="T781" s="141" t="s">
        <v>208</v>
      </c>
      <c r="U781" s="47">
        <v>64</v>
      </c>
      <c r="V781" s="46"/>
      <c r="W781" s="52"/>
      <c r="X781" s="105"/>
      <c r="Y781" s="105"/>
      <c r="Z781" s="105"/>
      <c r="AA781" s="105"/>
      <c r="AB781" s="105"/>
      <c r="AC781" s="105"/>
      <c r="AD781" s="105"/>
      <c r="AE781" s="105"/>
      <c r="AF781" s="105"/>
      <c r="AG781" s="105"/>
      <c r="AH781" s="105"/>
    </row>
    <row r="782" spans="2:40" x14ac:dyDescent="0.15">
      <c r="D782" s="100"/>
      <c r="E782" s="100"/>
      <c r="F782" s="90"/>
      <c r="G782" s="90"/>
      <c r="H782" s="90"/>
      <c r="I782" s="90"/>
      <c r="J782" s="78"/>
      <c r="K782" s="78"/>
      <c r="L782" s="78"/>
      <c r="M782" s="78"/>
      <c r="N782" s="78"/>
      <c r="O782" s="78"/>
      <c r="P782" s="78"/>
      <c r="Q782" s="78"/>
      <c r="R782" s="72"/>
      <c r="S782" s="72"/>
      <c r="T782" s="141" t="s">
        <v>209</v>
      </c>
      <c r="U782" s="47">
        <v>17</v>
      </c>
      <c r="V782" s="46"/>
      <c r="W782" s="52"/>
      <c r="X782" s="105"/>
      <c r="Y782" s="105"/>
      <c r="Z782" s="105"/>
      <c r="AA782" s="105"/>
      <c r="AB782" s="105"/>
      <c r="AC782" s="105"/>
      <c r="AD782" s="105"/>
      <c r="AE782" s="105"/>
      <c r="AF782" s="105"/>
      <c r="AG782" s="105"/>
      <c r="AH782" s="105"/>
    </row>
    <row r="783" spans="2:40" x14ac:dyDescent="0.15">
      <c r="D783" s="100"/>
      <c r="E783" s="100"/>
      <c r="F783" s="90"/>
      <c r="G783" s="90"/>
      <c r="H783" s="90"/>
      <c r="I783" s="90"/>
      <c r="J783" s="78"/>
      <c r="K783" s="78"/>
      <c r="L783" s="78"/>
      <c r="M783" s="78"/>
      <c r="N783" s="78"/>
      <c r="O783" s="78"/>
      <c r="P783" s="78"/>
      <c r="Q783" s="78"/>
      <c r="R783" s="72"/>
      <c r="S783" s="72"/>
      <c r="T783" s="141" t="s">
        <v>210</v>
      </c>
      <c r="U783" s="47">
        <v>33</v>
      </c>
      <c r="V783" s="46"/>
      <c r="W783" s="52"/>
      <c r="X783" s="105"/>
      <c r="Y783" s="105"/>
      <c r="Z783" s="105"/>
      <c r="AA783" s="105"/>
      <c r="AB783" s="105"/>
      <c r="AC783" s="105"/>
      <c r="AD783" s="105"/>
      <c r="AE783" s="105"/>
      <c r="AF783" s="105"/>
      <c r="AG783" s="105"/>
      <c r="AH783" s="105"/>
    </row>
    <row r="784" spans="2:40" x14ac:dyDescent="0.15">
      <c r="D784" s="100"/>
      <c r="E784" s="100"/>
      <c r="F784" s="90"/>
      <c r="G784" s="90"/>
      <c r="H784" s="90"/>
      <c r="I784" s="90"/>
      <c r="J784" s="78"/>
      <c r="K784" s="78"/>
      <c r="L784" s="78"/>
      <c r="M784" s="78"/>
      <c r="N784" s="78"/>
      <c r="O784" s="78"/>
      <c r="P784" s="78"/>
      <c r="Q784" s="78"/>
      <c r="R784" s="72"/>
      <c r="S784" s="72"/>
      <c r="T784" s="46" t="s">
        <v>205</v>
      </c>
      <c r="U784" s="47">
        <v>53</v>
      </c>
      <c r="V784" s="46"/>
      <c r="W784" s="52"/>
      <c r="X784" s="105"/>
      <c r="Y784" s="105"/>
      <c r="Z784" s="105"/>
      <c r="AA784" s="105"/>
      <c r="AB784" s="105"/>
      <c r="AC784" s="105"/>
      <c r="AD784" s="105"/>
      <c r="AE784" s="105"/>
      <c r="AF784" s="105"/>
      <c r="AG784" s="105"/>
      <c r="AH784" s="105"/>
    </row>
    <row r="785" spans="3:40" x14ac:dyDescent="0.15">
      <c r="D785" s="100"/>
      <c r="E785" s="100"/>
      <c r="F785" s="90"/>
      <c r="G785" s="90"/>
      <c r="H785" s="90"/>
      <c r="I785" s="90"/>
      <c r="J785" s="78"/>
      <c r="K785" s="78"/>
      <c r="L785" s="78"/>
      <c r="M785" s="78"/>
      <c r="N785" s="78"/>
      <c r="O785" s="78"/>
      <c r="P785" s="78"/>
      <c r="Q785" s="78"/>
      <c r="R785" s="72"/>
      <c r="S785" s="72"/>
      <c r="T785" s="46" t="s">
        <v>206</v>
      </c>
      <c r="U785" s="47">
        <v>19</v>
      </c>
      <c r="V785" s="46"/>
      <c r="W785" s="52"/>
      <c r="X785" s="105"/>
      <c r="Y785" s="105"/>
      <c r="Z785" s="105"/>
      <c r="AA785" s="105"/>
      <c r="AB785" s="105"/>
      <c r="AC785" s="105"/>
      <c r="AD785" s="105"/>
      <c r="AE785" s="105"/>
      <c r="AF785" s="105"/>
      <c r="AG785" s="105"/>
      <c r="AH785" s="105"/>
    </row>
    <row r="786" spans="3:40" x14ac:dyDescent="0.15">
      <c r="D786" s="100"/>
      <c r="E786" s="100"/>
      <c r="F786" s="90"/>
      <c r="G786" s="90"/>
      <c r="H786" s="90"/>
      <c r="I786" s="90"/>
      <c r="J786" s="78"/>
      <c r="K786" s="78"/>
      <c r="L786" s="78"/>
      <c r="M786" s="78"/>
      <c r="N786" s="78"/>
      <c r="O786" s="78"/>
      <c r="P786" s="78"/>
      <c r="Q786" s="78"/>
      <c r="R786" s="72"/>
      <c r="S786" s="72"/>
      <c r="T786" s="46" t="s">
        <v>121</v>
      </c>
      <c r="U786" s="47">
        <v>15</v>
      </c>
      <c r="V786" s="46"/>
      <c r="W786" s="52"/>
      <c r="X786" s="105"/>
      <c r="Y786" s="105"/>
      <c r="Z786" s="105"/>
      <c r="AA786" s="105"/>
      <c r="AB786" s="105"/>
      <c r="AC786" s="105"/>
      <c r="AD786" s="105"/>
      <c r="AE786" s="105"/>
      <c r="AF786" s="105"/>
      <c r="AG786" s="105"/>
      <c r="AH786" s="105"/>
    </row>
    <row r="787" spans="3:40" x14ac:dyDescent="0.15">
      <c r="D787" s="100"/>
      <c r="E787" s="100"/>
      <c r="F787" s="90"/>
      <c r="G787" s="90"/>
      <c r="H787" s="90"/>
      <c r="I787" s="90"/>
      <c r="J787" s="78"/>
      <c r="K787" s="78"/>
      <c r="L787" s="78"/>
      <c r="M787" s="78"/>
      <c r="N787" s="78"/>
      <c r="O787" s="78"/>
      <c r="P787" s="78"/>
      <c r="Q787" s="78"/>
      <c r="R787" s="72"/>
      <c r="S787" s="72"/>
      <c r="T787" s="46"/>
      <c r="U787" s="47"/>
      <c r="V787" s="46"/>
      <c r="W787" s="52"/>
      <c r="X787" s="105"/>
      <c r="Y787" s="105"/>
      <c r="Z787" s="105"/>
      <c r="AA787" s="105"/>
      <c r="AB787" s="105"/>
      <c r="AC787" s="105"/>
      <c r="AD787" s="105"/>
      <c r="AE787" s="105"/>
      <c r="AF787" s="105"/>
      <c r="AG787" s="105"/>
      <c r="AH787" s="105"/>
    </row>
    <row r="788" spans="3:40" x14ac:dyDescent="0.15">
      <c r="D788" s="100"/>
      <c r="E788" s="100"/>
      <c r="F788" s="90"/>
      <c r="G788" s="90"/>
      <c r="H788" s="90"/>
      <c r="I788" s="90"/>
      <c r="J788" s="78"/>
      <c r="K788" s="78"/>
      <c r="L788" s="78"/>
      <c r="M788" s="78"/>
      <c r="N788" s="78"/>
      <c r="O788" s="78"/>
      <c r="P788" s="78"/>
      <c r="Q788" s="78"/>
      <c r="R788" s="72"/>
      <c r="S788" s="72"/>
      <c r="U788" s="47"/>
      <c r="V788" s="46"/>
      <c r="W788" s="52"/>
      <c r="X788" s="105"/>
      <c r="Y788" s="105"/>
      <c r="Z788" s="105"/>
      <c r="AA788" s="105"/>
      <c r="AB788" s="105"/>
      <c r="AC788" s="105"/>
      <c r="AD788" s="105"/>
      <c r="AE788" s="105"/>
      <c r="AF788" s="105"/>
      <c r="AG788" s="105"/>
      <c r="AH788" s="105"/>
    </row>
    <row r="789" spans="3:40" x14ac:dyDescent="0.15">
      <c r="D789" s="100"/>
      <c r="E789" s="100"/>
      <c r="F789" s="90"/>
      <c r="G789" s="90"/>
      <c r="H789" s="90"/>
      <c r="I789" s="90"/>
      <c r="J789" s="78"/>
      <c r="K789" s="78"/>
      <c r="L789" s="78"/>
      <c r="M789" s="78"/>
      <c r="N789" s="78"/>
      <c r="O789" s="78"/>
      <c r="P789" s="78"/>
      <c r="Q789" s="78"/>
      <c r="R789" s="72"/>
      <c r="S789" s="72"/>
      <c r="T789" s="46"/>
      <c r="U789" s="47"/>
      <c r="V789" s="46"/>
      <c r="W789" s="52"/>
      <c r="X789" s="105"/>
      <c r="Y789" s="105"/>
      <c r="Z789" s="105"/>
      <c r="AA789" s="105"/>
      <c r="AB789" s="105"/>
      <c r="AC789" s="105"/>
      <c r="AD789" s="105"/>
      <c r="AE789" s="105"/>
      <c r="AF789" s="105"/>
      <c r="AG789" s="105"/>
      <c r="AH789" s="105"/>
    </row>
    <row r="790" spans="3:40" x14ac:dyDescent="0.15">
      <c r="D790" s="100"/>
      <c r="E790" s="100"/>
      <c r="F790" s="90"/>
      <c r="G790" s="90"/>
      <c r="H790" s="90"/>
      <c r="I790" s="90"/>
      <c r="J790" s="78"/>
      <c r="K790" s="78"/>
      <c r="L790" s="78"/>
      <c r="M790" s="78"/>
      <c r="N790" s="78"/>
      <c r="O790" s="78"/>
      <c r="P790" s="78"/>
      <c r="Q790" s="78"/>
      <c r="R790" s="72"/>
      <c r="S790" s="72"/>
      <c r="U790" s="47"/>
      <c r="V790" s="46"/>
      <c r="W790" s="52"/>
      <c r="X790" s="105"/>
      <c r="Y790" s="105"/>
      <c r="Z790" s="105"/>
      <c r="AA790" s="105"/>
      <c r="AB790" s="105"/>
      <c r="AC790" s="105"/>
      <c r="AD790" s="105"/>
      <c r="AE790" s="105"/>
      <c r="AF790" s="105"/>
      <c r="AG790" s="105"/>
      <c r="AH790" s="105"/>
    </row>
    <row r="791" spans="3:40" x14ac:dyDescent="0.15">
      <c r="D791" s="100"/>
      <c r="E791" s="100"/>
      <c r="F791" s="90"/>
      <c r="G791" s="90"/>
      <c r="H791" s="90"/>
      <c r="I791" s="90"/>
      <c r="J791" s="78"/>
      <c r="K791" s="78"/>
      <c r="L791" s="78"/>
      <c r="M791" s="78"/>
      <c r="N791" s="78"/>
      <c r="O791" s="78"/>
      <c r="P791" s="78"/>
      <c r="Q791" s="78"/>
      <c r="R791" s="72"/>
      <c r="S791" s="72"/>
      <c r="T791" s="46"/>
      <c r="U791" s="47"/>
      <c r="V791" s="46"/>
      <c r="W791" s="52"/>
      <c r="X791" s="105"/>
      <c r="Y791" s="105"/>
      <c r="Z791" s="105"/>
      <c r="AA791" s="105"/>
      <c r="AB791" s="105"/>
      <c r="AC791" s="105"/>
      <c r="AD791" s="105"/>
      <c r="AE791" s="105"/>
      <c r="AF791" s="105"/>
      <c r="AG791" s="105"/>
      <c r="AH791" s="105"/>
    </row>
    <row r="792" spans="3:40" x14ac:dyDescent="0.15">
      <c r="D792" s="100"/>
      <c r="E792" s="100"/>
      <c r="F792" s="90"/>
      <c r="G792" s="90"/>
      <c r="H792" s="90"/>
      <c r="I792" s="90"/>
      <c r="J792" s="78"/>
      <c r="K792" s="78"/>
      <c r="L792" s="78"/>
      <c r="M792" s="78"/>
      <c r="N792" s="78"/>
      <c r="O792" s="78"/>
      <c r="P792" s="78"/>
      <c r="Q792" s="78"/>
      <c r="R792" s="72"/>
      <c r="S792" s="72"/>
      <c r="U792" s="47"/>
      <c r="V792" s="46"/>
      <c r="W792" s="52"/>
      <c r="X792" s="105"/>
      <c r="Y792" s="105"/>
      <c r="Z792" s="105"/>
      <c r="AA792" s="105"/>
      <c r="AB792" s="105"/>
      <c r="AC792" s="105"/>
      <c r="AD792" s="105"/>
      <c r="AE792" s="105"/>
      <c r="AF792" s="105"/>
      <c r="AG792" s="105"/>
      <c r="AH792" s="105"/>
    </row>
    <row r="793" spans="3:40" x14ac:dyDescent="0.15">
      <c r="D793" s="100"/>
      <c r="E793" s="100"/>
      <c r="F793" s="90"/>
      <c r="G793" s="90"/>
      <c r="H793" s="90"/>
      <c r="I793" s="90"/>
      <c r="J793" s="78"/>
      <c r="K793" s="78"/>
      <c r="L793" s="78"/>
      <c r="M793" s="78"/>
      <c r="N793" s="78"/>
      <c r="O793" s="78"/>
      <c r="P793" s="78"/>
      <c r="Q793" s="78"/>
      <c r="R793" s="72"/>
      <c r="S793" s="72"/>
      <c r="T793" s="46"/>
      <c r="U793" s="47"/>
      <c r="V793" s="46"/>
      <c r="W793" s="52"/>
      <c r="X793" s="105"/>
      <c r="Y793" s="105"/>
      <c r="Z793" s="105"/>
      <c r="AA793" s="105"/>
      <c r="AB793" s="105"/>
      <c r="AC793" s="105"/>
      <c r="AD793" s="105"/>
      <c r="AE793" s="105"/>
      <c r="AF793" s="105"/>
      <c r="AG793" s="105"/>
      <c r="AH793" s="105"/>
    </row>
    <row r="794" spans="3:40" x14ac:dyDescent="0.15">
      <c r="D794" s="100"/>
      <c r="E794" s="100"/>
      <c r="F794" s="90"/>
      <c r="G794" s="90"/>
      <c r="H794" s="90"/>
      <c r="I794" s="90"/>
      <c r="J794" s="78"/>
      <c r="K794" s="78"/>
      <c r="L794" s="78"/>
      <c r="M794" s="78"/>
      <c r="N794" s="78"/>
      <c r="O794" s="78"/>
      <c r="P794" s="78"/>
      <c r="Q794" s="78"/>
      <c r="R794" s="72"/>
      <c r="S794" s="72"/>
      <c r="U794" s="47"/>
      <c r="V794" s="46"/>
      <c r="W794" s="52"/>
      <c r="X794" s="105"/>
      <c r="Y794" s="105"/>
      <c r="Z794" s="105"/>
      <c r="AA794" s="105"/>
      <c r="AB794" s="105"/>
      <c r="AC794" s="105"/>
      <c r="AD794" s="105"/>
      <c r="AE794" s="105"/>
      <c r="AF794" s="105"/>
      <c r="AG794" s="105"/>
      <c r="AH794" s="105"/>
    </row>
    <row r="795" spans="3:40" x14ac:dyDescent="0.15">
      <c r="D795" s="100"/>
      <c r="E795" s="100"/>
      <c r="F795" s="90"/>
      <c r="G795" s="90"/>
      <c r="H795" s="90"/>
      <c r="I795" s="90"/>
      <c r="J795" s="78"/>
      <c r="K795" s="78"/>
      <c r="L795" s="78"/>
      <c r="M795" s="78"/>
      <c r="N795" s="78"/>
      <c r="O795" s="78"/>
      <c r="P795" s="78"/>
      <c r="Q795" s="78"/>
      <c r="R795" s="72"/>
      <c r="S795" s="72"/>
      <c r="T795" s="46"/>
      <c r="U795" s="47"/>
      <c r="V795" s="46"/>
      <c r="W795" s="52"/>
      <c r="X795" s="105"/>
      <c r="Y795" s="105"/>
      <c r="Z795" s="105"/>
      <c r="AA795" s="105"/>
      <c r="AB795" s="105"/>
      <c r="AC795" s="105"/>
      <c r="AD795" s="105"/>
      <c r="AE795" s="105"/>
      <c r="AF795" s="105"/>
      <c r="AG795" s="105"/>
      <c r="AH795" s="105"/>
    </row>
    <row r="796" spans="3:40" ht="14.25" thickBot="1" x14ac:dyDescent="0.2">
      <c r="C796" s="2" t="s">
        <v>211</v>
      </c>
      <c r="D796" s="100"/>
      <c r="E796" s="100"/>
      <c r="F796" s="90"/>
      <c r="G796" s="90"/>
      <c r="H796" s="90"/>
      <c r="I796" s="90"/>
      <c r="J796" s="78"/>
      <c r="K796" s="78"/>
      <c r="L796" s="78"/>
      <c r="M796" s="78"/>
      <c r="N796" s="78"/>
      <c r="O796" s="78"/>
      <c r="P796" s="78"/>
      <c r="Q796" s="78"/>
      <c r="R796" s="72"/>
      <c r="S796" s="72"/>
      <c r="T796" s="46"/>
      <c r="U796" s="47"/>
      <c r="V796" s="46"/>
      <c r="W796" s="52"/>
      <c r="X796" s="105"/>
      <c r="Y796" s="105"/>
      <c r="Z796" s="105"/>
      <c r="AA796" s="105"/>
      <c r="AB796" s="105"/>
      <c r="AC796" s="105"/>
      <c r="AD796" s="105"/>
      <c r="AE796" s="105"/>
      <c r="AF796" s="105"/>
      <c r="AG796" s="105"/>
      <c r="AH796" s="105"/>
    </row>
    <row r="797" spans="3:40" ht="12.75" customHeight="1" x14ac:dyDescent="0.15">
      <c r="D797" s="91"/>
      <c r="E797" s="92"/>
      <c r="F797" s="92"/>
      <c r="G797" s="113"/>
      <c r="H797" s="444" t="s">
        <v>26</v>
      </c>
      <c r="I797" s="455"/>
      <c r="J797" s="455"/>
      <c r="K797" s="456"/>
      <c r="L797" s="467" t="s">
        <v>27</v>
      </c>
      <c r="M797" s="451"/>
      <c r="N797" s="451"/>
      <c r="O797" s="452"/>
      <c r="P797" s="399" t="s">
        <v>28</v>
      </c>
      <c r="Q797" s="386"/>
      <c r="R797" s="386"/>
      <c r="S797" s="387"/>
      <c r="T797" s="46"/>
      <c r="U797" s="47"/>
      <c r="W797" s="105"/>
      <c r="X797" s="105"/>
      <c r="Y797" s="105"/>
      <c r="Z797" s="105"/>
      <c r="AA797" s="105"/>
      <c r="AB797" s="105"/>
      <c r="AC797" s="105"/>
      <c r="AD797" s="105"/>
      <c r="AE797" s="105"/>
      <c r="AF797" s="105"/>
      <c r="AG797" s="105"/>
      <c r="AH797" s="105"/>
      <c r="AL797" s="5"/>
      <c r="AN797" s="1"/>
    </row>
    <row r="798" spans="3:40" ht="12.75" customHeight="1" x14ac:dyDescent="0.15">
      <c r="D798" s="93"/>
      <c r="E798" s="94"/>
      <c r="F798" s="94"/>
      <c r="G798" s="136"/>
      <c r="H798" s="371"/>
      <c r="I798" s="364" t="s">
        <v>29</v>
      </c>
      <c r="J798" s="364" t="s">
        <v>30</v>
      </c>
      <c r="K798" s="374" t="s">
        <v>31</v>
      </c>
      <c r="L798" s="14"/>
      <c r="M798" s="15" t="s">
        <v>29</v>
      </c>
      <c r="N798" s="15" t="s">
        <v>30</v>
      </c>
      <c r="O798" s="375" t="s">
        <v>31</v>
      </c>
      <c r="P798" s="372"/>
      <c r="Q798" s="364" t="s">
        <v>29</v>
      </c>
      <c r="R798" s="364" t="s">
        <v>30</v>
      </c>
      <c r="S798" s="375" t="s">
        <v>31</v>
      </c>
      <c r="T798" s="46"/>
      <c r="U798" s="47"/>
      <c r="W798" s="105"/>
      <c r="X798" s="105"/>
      <c r="Y798" s="105"/>
      <c r="Z798" s="105"/>
      <c r="AA798" s="105"/>
      <c r="AB798" s="105"/>
      <c r="AC798" s="105"/>
      <c r="AD798" s="105"/>
      <c r="AE798" s="105"/>
      <c r="AF798" s="105"/>
      <c r="AG798" s="105"/>
      <c r="AH798" s="105"/>
      <c r="AL798" s="5"/>
      <c r="AN798" s="1"/>
    </row>
    <row r="799" spans="3:40" ht="12.75" customHeight="1" x14ac:dyDescent="0.15">
      <c r="D799" s="457" t="s">
        <v>212</v>
      </c>
      <c r="E799" s="401"/>
      <c r="F799" s="401"/>
      <c r="G799" s="458"/>
      <c r="H799" s="54">
        <f>I799+J799+K799</f>
        <v>367</v>
      </c>
      <c r="I799" s="55">
        <v>38</v>
      </c>
      <c r="J799" s="55">
        <v>81</v>
      </c>
      <c r="K799" s="56">
        <v>248</v>
      </c>
      <c r="L799" s="54">
        <f>M799+N799+O799</f>
        <v>434</v>
      </c>
      <c r="M799" s="55">
        <v>39</v>
      </c>
      <c r="N799" s="55">
        <v>137</v>
      </c>
      <c r="O799" s="55">
        <v>258</v>
      </c>
      <c r="P799" s="55">
        <f>Q799+R799+S799</f>
        <v>419</v>
      </c>
      <c r="Q799" s="55">
        <v>50</v>
      </c>
      <c r="R799" s="55">
        <v>140</v>
      </c>
      <c r="S799" s="55">
        <v>229</v>
      </c>
      <c r="T799" s="46"/>
      <c r="U799" s="47"/>
      <c r="W799" s="105"/>
      <c r="X799" s="105"/>
      <c r="Y799" s="105"/>
      <c r="Z799" s="105"/>
      <c r="AA799" s="105"/>
      <c r="AB799" s="105"/>
      <c r="AC799" s="105"/>
      <c r="AD799" s="105"/>
      <c r="AE799" s="105"/>
      <c r="AF799" s="105"/>
      <c r="AG799" s="105"/>
      <c r="AH799" s="105"/>
      <c r="AL799" s="5"/>
      <c r="AN799" s="1"/>
    </row>
    <row r="800" spans="3:40" ht="12.75" customHeight="1" x14ac:dyDescent="0.15">
      <c r="D800" s="459"/>
      <c r="E800" s="403"/>
      <c r="F800" s="403"/>
      <c r="G800" s="460"/>
      <c r="H800" s="58">
        <f t="shared" ref="H800:Q800" si="201">ROUND(H799/(H$799+H$801+H$803+H$805+H$807+H$809+H$811),3)</f>
        <v>0.61499999999999999</v>
      </c>
      <c r="I800" s="59">
        <f t="shared" si="201"/>
        <v>0.60299999999999998</v>
      </c>
      <c r="J800" s="59">
        <f t="shared" si="201"/>
        <v>0.65300000000000002</v>
      </c>
      <c r="K800" s="60">
        <f t="shared" si="201"/>
        <v>0.60499999999999998</v>
      </c>
      <c r="L800" s="58">
        <f t="shared" si="201"/>
        <v>0.54600000000000004</v>
      </c>
      <c r="M800" s="59">
        <f t="shared" si="201"/>
        <v>0.54200000000000004</v>
      </c>
      <c r="N800" s="59">
        <f t="shared" si="201"/>
        <v>0.61199999999999999</v>
      </c>
      <c r="O800" s="59">
        <f t="shared" si="201"/>
        <v>0.51700000000000002</v>
      </c>
      <c r="P800" s="59">
        <f t="shared" si="201"/>
        <v>0.502</v>
      </c>
      <c r="Q800" s="59">
        <f t="shared" si="201"/>
        <v>0.505</v>
      </c>
      <c r="R800" s="59">
        <f>ROUND(R799/(R$799+R$801+R$803+R$805+R$807+R$809+R$811),3)-0.001</f>
        <v>0.57799999999999996</v>
      </c>
      <c r="S800" s="59">
        <f>ROUND(S799/(S$799+S$801+S$803+S$805+S$807+S$809+S$811),3)</f>
        <v>0.46400000000000002</v>
      </c>
      <c r="T800" s="46"/>
      <c r="U800" s="47"/>
      <c r="W800" s="105"/>
      <c r="X800" s="105"/>
      <c r="Y800" s="105"/>
      <c r="Z800" s="105"/>
      <c r="AA800" s="105"/>
      <c r="AB800" s="105"/>
      <c r="AC800" s="105"/>
      <c r="AD800" s="105"/>
      <c r="AE800" s="105"/>
      <c r="AF800" s="105"/>
      <c r="AG800" s="105"/>
      <c r="AH800" s="105"/>
      <c r="AL800" s="5"/>
      <c r="AN800" s="1"/>
    </row>
    <row r="801" spans="4:40" ht="12.75" customHeight="1" x14ac:dyDescent="0.15">
      <c r="D801" s="457" t="s">
        <v>213</v>
      </c>
      <c r="E801" s="401"/>
      <c r="F801" s="401"/>
      <c r="G801" s="458"/>
      <c r="H801" s="54">
        <f>I801+J801+K801</f>
        <v>96</v>
      </c>
      <c r="I801" s="55">
        <v>3</v>
      </c>
      <c r="J801" s="55">
        <v>17</v>
      </c>
      <c r="K801" s="56">
        <v>76</v>
      </c>
      <c r="L801" s="54">
        <f>M801+N801+O801</f>
        <v>144</v>
      </c>
      <c r="M801" s="55">
        <v>6</v>
      </c>
      <c r="N801" s="55">
        <v>39</v>
      </c>
      <c r="O801" s="55">
        <v>99</v>
      </c>
      <c r="P801" s="55">
        <f>Q801+R801+S801</f>
        <v>182</v>
      </c>
      <c r="Q801" s="55">
        <v>15</v>
      </c>
      <c r="R801" s="55">
        <v>51</v>
      </c>
      <c r="S801" s="55">
        <v>116</v>
      </c>
      <c r="W801" s="105"/>
      <c r="X801" s="105"/>
      <c r="Y801" s="105"/>
      <c r="Z801" s="105"/>
      <c r="AA801" s="105"/>
      <c r="AB801" s="105"/>
      <c r="AC801" s="105"/>
      <c r="AD801" s="105"/>
      <c r="AE801" s="105"/>
      <c r="AF801" s="105"/>
      <c r="AG801" s="105"/>
      <c r="AH801" s="105"/>
      <c r="AL801" s="5"/>
      <c r="AN801" s="1"/>
    </row>
    <row r="802" spans="4:40" ht="12.75" customHeight="1" x14ac:dyDescent="0.15">
      <c r="D802" s="459"/>
      <c r="E802" s="403"/>
      <c r="F802" s="403"/>
      <c r="G802" s="460"/>
      <c r="H802" s="58">
        <f t="shared" ref="H802:S802" si="202">ROUND(H801/(H$799+H$801+H$803+H$805+H$807+H$809+H$811),3)</f>
        <v>0.161</v>
      </c>
      <c r="I802" s="59">
        <f t="shared" si="202"/>
        <v>4.8000000000000001E-2</v>
      </c>
      <c r="J802" s="59">
        <f t="shared" si="202"/>
        <v>0.13700000000000001</v>
      </c>
      <c r="K802" s="60">
        <f t="shared" si="202"/>
        <v>0.185</v>
      </c>
      <c r="L802" s="58">
        <f t="shared" si="202"/>
        <v>0.18099999999999999</v>
      </c>
      <c r="M802" s="59">
        <f t="shared" si="202"/>
        <v>8.3000000000000004E-2</v>
      </c>
      <c r="N802" s="59">
        <f t="shared" si="202"/>
        <v>0.17399999999999999</v>
      </c>
      <c r="O802" s="59">
        <f t="shared" si="202"/>
        <v>0.19800000000000001</v>
      </c>
      <c r="P802" s="59">
        <f t="shared" si="202"/>
        <v>0.218</v>
      </c>
      <c r="Q802" s="59">
        <f t="shared" si="202"/>
        <v>0.152</v>
      </c>
      <c r="R802" s="59">
        <f t="shared" si="202"/>
        <v>0.21099999999999999</v>
      </c>
      <c r="S802" s="59">
        <f t="shared" si="202"/>
        <v>0.23499999999999999</v>
      </c>
      <c r="W802" s="105"/>
      <c r="X802" s="105"/>
      <c r="Y802" s="105"/>
      <c r="Z802" s="105"/>
      <c r="AA802" s="105"/>
      <c r="AB802" s="105"/>
      <c r="AC802" s="105"/>
      <c r="AD802" s="105"/>
      <c r="AE802" s="105"/>
      <c r="AF802" s="105"/>
      <c r="AG802" s="105"/>
      <c r="AH802" s="105"/>
      <c r="AL802" s="5"/>
      <c r="AN802" s="1"/>
    </row>
    <row r="803" spans="4:40" ht="12.75" customHeight="1" x14ac:dyDescent="0.15">
      <c r="D803" s="457" t="s">
        <v>214</v>
      </c>
      <c r="E803" s="401"/>
      <c r="F803" s="401"/>
      <c r="G803" s="458"/>
      <c r="H803" s="54">
        <f>I803+J803+K803</f>
        <v>42</v>
      </c>
      <c r="I803" s="55">
        <v>8</v>
      </c>
      <c r="J803" s="55">
        <v>10</v>
      </c>
      <c r="K803" s="56">
        <v>24</v>
      </c>
      <c r="L803" s="54">
        <f>M803+N803+O803</f>
        <v>96</v>
      </c>
      <c r="M803" s="55">
        <v>15</v>
      </c>
      <c r="N803" s="55">
        <v>28</v>
      </c>
      <c r="O803" s="55">
        <v>53</v>
      </c>
      <c r="P803" s="55">
        <f>Q803+R803+S803</f>
        <v>107</v>
      </c>
      <c r="Q803" s="55">
        <v>22</v>
      </c>
      <c r="R803" s="55">
        <v>25</v>
      </c>
      <c r="S803" s="55">
        <v>60</v>
      </c>
      <c r="W803" s="105"/>
      <c r="X803" s="105"/>
      <c r="Y803" s="105"/>
      <c r="Z803" s="105"/>
      <c r="AA803" s="105"/>
      <c r="AB803" s="105"/>
      <c r="AC803" s="105"/>
      <c r="AD803" s="105"/>
      <c r="AE803" s="105"/>
      <c r="AF803" s="105"/>
      <c r="AG803" s="105"/>
      <c r="AH803" s="105"/>
      <c r="AL803" s="5"/>
      <c r="AN803" s="1"/>
    </row>
    <row r="804" spans="4:40" ht="12.75" customHeight="1" x14ac:dyDescent="0.15">
      <c r="D804" s="459"/>
      <c r="E804" s="403"/>
      <c r="F804" s="403"/>
      <c r="G804" s="460"/>
      <c r="H804" s="58">
        <f t="shared" ref="H804:R804" si="203">ROUND(H803/(H$799+H$801+H$803+H$805+H$807+H$809+H$811),3)</f>
        <v>7.0000000000000007E-2</v>
      </c>
      <c r="I804" s="59">
        <f t="shared" si="203"/>
        <v>0.127</v>
      </c>
      <c r="J804" s="59">
        <f t="shared" si="203"/>
        <v>8.1000000000000003E-2</v>
      </c>
      <c r="K804" s="60">
        <f t="shared" si="203"/>
        <v>5.8999999999999997E-2</v>
      </c>
      <c r="L804" s="58">
        <f t="shared" si="203"/>
        <v>0.121</v>
      </c>
      <c r="M804" s="59">
        <f t="shared" si="203"/>
        <v>0.20799999999999999</v>
      </c>
      <c r="N804" s="59">
        <f t="shared" si="203"/>
        <v>0.125</v>
      </c>
      <c r="O804" s="59">
        <f t="shared" si="203"/>
        <v>0.106</v>
      </c>
      <c r="P804" s="59">
        <f t="shared" si="203"/>
        <v>0.128</v>
      </c>
      <c r="Q804" s="59">
        <f t="shared" si="203"/>
        <v>0.222</v>
      </c>
      <c r="R804" s="59">
        <f t="shared" si="203"/>
        <v>0.10299999999999999</v>
      </c>
      <c r="S804" s="59">
        <f>ROUND(S803/(S$799+S$801+S$803+S$805+S$807+S$809+S$811),3)+0.001</f>
        <v>0.122</v>
      </c>
      <c r="W804" s="105"/>
      <c r="X804" s="105"/>
      <c r="Y804" s="105"/>
      <c r="Z804" s="105"/>
      <c r="AA804" s="105"/>
      <c r="AB804" s="105"/>
      <c r="AC804" s="105"/>
      <c r="AD804" s="105"/>
      <c r="AE804" s="105"/>
      <c r="AF804" s="105"/>
      <c r="AG804" s="105"/>
      <c r="AH804" s="105"/>
      <c r="AL804" s="5"/>
      <c r="AN804" s="1"/>
    </row>
    <row r="805" spans="4:40" ht="12.75" customHeight="1" x14ac:dyDescent="0.15">
      <c r="D805" s="457" t="s">
        <v>215</v>
      </c>
      <c r="E805" s="401"/>
      <c r="F805" s="401"/>
      <c r="G805" s="458"/>
      <c r="H805" s="54">
        <f>I805+J805+K805</f>
        <v>38</v>
      </c>
      <c r="I805" s="55">
        <v>1</v>
      </c>
      <c r="J805" s="55">
        <v>5</v>
      </c>
      <c r="K805" s="56">
        <v>32</v>
      </c>
      <c r="L805" s="54">
        <f>M805+N805+O805</f>
        <v>64</v>
      </c>
      <c r="M805" s="55">
        <v>2</v>
      </c>
      <c r="N805" s="55">
        <v>8</v>
      </c>
      <c r="O805" s="55">
        <v>54</v>
      </c>
      <c r="P805" s="55">
        <f>Q805+R805+S805</f>
        <v>64</v>
      </c>
      <c r="Q805" s="55">
        <v>1</v>
      </c>
      <c r="R805" s="55">
        <v>12</v>
      </c>
      <c r="S805" s="55">
        <v>51</v>
      </c>
      <c r="W805" s="105"/>
      <c r="X805" s="105"/>
      <c r="Y805" s="105"/>
      <c r="Z805" s="105"/>
      <c r="AA805" s="105"/>
      <c r="AB805" s="105"/>
      <c r="AC805" s="105"/>
      <c r="AD805" s="105"/>
      <c r="AE805" s="105"/>
      <c r="AF805" s="105"/>
      <c r="AG805" s="105"/>
      <c r="AH805" s="105"/>
      <c r="AL805" s="5"/>
      <c r="AN805" s="1"/>
    </row>
    <row r="806" spans="4:40" ht="12.75" customHeight="1" x14ac:dyDescent="0.15">
      <c r="D806" s="459"/>
      <c r="E806" s="403"/>
      <c r="F806" s="403"/>
      <c r="G806" s="460"/>
      <c r="H806" s="58">
        <f t="shared" ref="H806:S806" si="204">ROUND(H805/(H$799+H$801+H$803+H$805+H$807+H$809+H$811),3)</f>
        <v>6.4000000000000001E-2</v>
      </c>
      <c r="I806" s="59">
        <f t="shared" si="204"/>
        <v>1.6E-2</v>
      </c>
      <c r="J806" s="59">
        <f t="shared" si="204"/>
        <v>0.04</v>
      </c>
      <c r="K806" s="60">
        <f t="shared" si="204"/>
        <v>7.8E-2</v>
      </c>
      <c r="L806" s="58">
        <f t="shared" si="204"/>
        <v>8.1000000000000003E-2</v>
      </c>
      <c r="M806" s="59">
        <f t="shared" si="204"/>
        <v>2.8000000000000001E-2</v>
      </c>
      <c r="N806" s="59">
        <f t="shared" si="204"/>
        <v>3.5999999999999997E-2</v>
      </c>
      <c r="O806" s="59">
        <f t="shared" si="204"/>
        <v>0.108</v>
      </c>
      <c r="P806" s="59">
        <f t="shared" si="204"/>
        <v>7.6999999999999999E-2</v>
      </c>
      <c r="Q806" s="59">
        <f t="shared" si="204"/>
        <v>0.01</v>
      </c>
      <c r="R806" s="59">
        <f t="shared" si="204"/>
        <v>0.05</v>
      </c>
      <c r="S806" s="59">
        <f t="shared" si="204"/>
        <v>0.10299999999999999</v>
      </c>
      <c r="W806" s="105"/>
      <c r="X806" s="105"/>
      <c r="Y806" s="105"/>
      <c r="Z806" s="105"/>
      <c r="AA806" s="105"/>
      <c r="AB806" s="105"/>
      <c r="AC806" s="105"/>
      <c r="AD806" s="105"/>
      <c r="AE806" s="105"/>
      <c r="AF806" s="105"/>
      <c r="AG806" s="105"/>
      <c r="AH806" s="105"/>
      <c r="AL806" s="5"/>
      <c r="AN806" s="1"/>
    </row>
    <row r="807" spans="4:40" ht="12.75" customHeight="1" x14ac:dyDescent="0.15">
      <c r="D807" s="457" t="s">
        <v>205</v>
      </c>
      <c r="E807" s="401"/>
      <c r="F807" s="401"/>
      <c r="G807" s="458"/>
      <c r="H807" s="54">
        <f>I807+J807+K807</f>
        <v>33</v>
      </c>
      <c r="I807" s="55">
        <v>7</v>
      </c>
      <c r="J807" s="55">
        <v>7</v>
      </c>
      <c r="K807" s="56">
        <v>19</v>
      </c>
      <c r="L807" s="54">
        <f>M807+N807+O807</f>
        <v>26</v>
      </c>
      <c r="M807" s="55">
        <v>3</v>
      </c>
      <c r="N807" s="55">
        <v>5</v>
      </c>
      <c r="O807" s="55">
        <v>18</v>
      </c>
      <c r="P807" s="55">
        <f>Q807+R807+S807</f>
        <v>28</v>
      </c>
      <c r="Q807" s="55">
        <v>5</v>
      </c>
      <c r="R807" s="55">
        <v>5</v>
      </c>
      <c r="S807" s="55">
        <v>18</v>
      </c>
      <c r="W807" s="105"/>
      <c r="X807" s="105"/>
      <c r="Y807" s="105"/>
      <c r="Z807" s="105"/>
      <c r="AA807" s="105"/>
      <c r="AB807" s="105"/>
      <c r="AC807" s="105"/>
      <c r="AD807" s="105"/>
      <c r="AE807" s="105"/>
      <c r="AF807" s="105"/>
      <c r="AG807" s="105"/>
      <c r="AH807" s="105"/>
      <c r="AL807" s="5"/>
      <c r="AN807" s="1"/>
    </row>
    <row r="808" spans="4:40" ht="12.75" customHeight="1" x14ac:dyDescent="0.15">
      <c r="D808" s="459"/>
      <c r="E808" s="403"/>
      <c r="F808" s="403"/>
      <c r="G808" s="460"/>
      <c r="H808" s="58">
        <f t="shared" ref="H808:O808" si="205">ROUND(H807/(H$799+H$801+H$803+H$805+H$807+H$809+H$811),3)</f>
        <v>5.5E-2</v>
      </c>
      <c r="I808" s="59">
        <f t="shared" si="205"/>
        <v>0.111</v>
      </c>
      <c r="J808" s="59">
        <f t="shared" si="205"/>
        <v>5.6000000000000001E-2</v>
      </c>
      <c r="K808" s="60">
        <f t="shared" si="205"/>
        <v>4.5999999999999999E-2</v>
      </c>
      <c r="L808" s="58">
        <f t="shared" si="205"/>
        <v>3.3000000000000002E-2</v>
      </c>
      <c r="M808" s="59">
        <f t="shared" si="205"/>
        <v>4.2000000000000003E-2</v>
      </c>
      <c r="N808" s="59">
        <f t="shared" si="205"/>
        <v>2.1999999999999999E-2</v>
      </c>
      <c r="O808" s="59">
        <f t="shared" si="205"/>
        <v>3.5999999999999997E-2</v>
      </c>
      <c r="P808" s="59">
        <f>ROUND(P807/(P$799+P$801+P$803+P$805+P$807+P$809+P$811),3)-0.001</f>
        <v>3.3000000000000002E-2</v>
      </c>
      <c r="Q808" s="59">
        <f>ROUND(Q807/(Q$799+Q$801+Q$803+Q$805+Q$807+Q$809+Q$811),3)</f>
        <v>5.0999999999999997E-2</v>
      </c>
      <c r="R808" s="59">
        <f>ROUND(R807/(R$799+R$801+R$803+R$805+R$807+R$809+R$811),3)</f>
        <v>2.1000000000000001E-2</v>
      </c>
      <c r="S808" s="59">
        <f>ROUND(S807/(S$799+S$801+S$803+S$805+S$807+S$809+S$811),3)</f>
        <v>3.5999999999999997E-2</v>
      </c>
      <c r="W808" s="105"/>
      <c r="X808" s="105"/>
      <c r="Y808" s="105"/>
      <c r="Z808" s="105"/>
      <c r="AA808" s="105"/>
      <c r="AB808" s="105"/>
      <c r="AC808" s="105"/>
      <c r="AD808" s="105"/>
      <c r="AE808" s="105"/>
      <c r="AF808" s="105"/>
      <c r="AG808" s="105"/>
      <c r="AH808" s="105"/>
      <c r="AL808" s="5"/>
      <c r="AN808" s="1"/>
    </row>
    <row r="809" spans="4:40" ht="12.75" customHeight="1" x14ac:dyDescent="0.15">
      <c r="D809" s="457" t="s">
        <v>216</v>
      </c>
      <c r="E809" s="401"/>
      <c r="F809" s="401"/>
      <c r="G809" s="458"/>
      <c r="H809" s="54">
        <f>I809+J809+K809</f>
        <v>10</v>
      </c>
      <c r="I809" s="55">
        <v>0</v>
      </c>
      <c r="J809" s="55">
        <v>3</v>
      </c>
      <c r="K809" s="56">
        <v>7</v>
      </c>
      <c r="L809" s="54">
        <f>M809+N809+O809</f>
        <v>14</v>
      </c>
      <c r="M809" s="55">
        <v>3</v>
      </c>
      <c r="N809" s="55">
        <v>6</v>
      </c>
      <c r="O809" s="55">
        <v>5</v>
      </c>
      <c r="P809" s="55">
        <f>Q809+R809+S809</f>
        <v>17</v>
      </c>
      <c r="Q809" s="55">
        <v>4</v>
      </c>
      <c r="R809" s="55">
        <v>4</v>
      </c>
      <c r="S809" s="55">
        <v>9</v>
      </c>
      <c r="W809" s="105"/>
      <c r="X809" s="105"/>
      <c r="Y809" s="105"/>
      <c r="Z809" s="105"/>
      <c r="AA809" s="105"/>
      <c r="AB809" s="105"/>
      <c r="AC809" s="105"/>
      <c r="AD809" s="105"/>
      <c r="AE809" s="105"/>
      <c r="AF809" s="105"/>
      <c r="AG809" s="105"/>
      <c r="AH809" s="105"/>
      <c r="AL809" s="5"/>
      <c r="AN809" s="1"/>
    </row>
    <row r="810" spans="4:40" ht="12.75" customHeight="1" x14ac:dyDescent="0.15">
      <c r="D810" s="459"/>
      <c r="E810" s="403"/>
      <c r="F810" s="403"/>
      <c r="G810" s="460"/>
      <c r="H810" s="58">
        <f t="shared" ref="H810:Q810" si="206">ROUND(H809/(H$799+H$801+H$803+H$805+H$807+H$809+H$811),3)</f>
        <v>1.7000000000000001E-2</v>
      </c>
      <c r="I810" s="59">
        <f t="shared" si="206"/>
        <v>0</v>
      </c>
      <c r="J810" s="59">
        <f t="shared" si="206"/>
        <v>2.4E-2</v>
      </c>
      <c r="K810" s="60">
        <f t="shared" si="206"/>
        <v>1.7000000000000001E-2</v>
      </c>
      <c r="L810" s="58">
        <f t="shared" si="206"/>
        <v>1.7999999999999999E-2</v>
      </c>
      <c r="M810" s="59">
        <f t="shared" si="206"/>
        <v>4.2000000000000003E-2</v>
      </c>
      <c r="N810" s="59">
        <f t="shared" si="206"/>
        <v>2.7E-2</v>
      </c>
      <c r="O810" s="59">
        <f t="shared" si="206"/>
        <v>0.01</v>
      </c>
      <c r="P810" s="59">
        <f t="shared" si="206"/>
        <v>0.02</v>
      </c>
      <c r="Q810" s="59">
        <f t="shared" si="206"/>
        <v>0.04</v>
      </c>
      <c r="R810" s="59">
        <f>ROUND(R809/(R$799+R$801+R$803+R$805+R$807+R$809+R$811),3)-0.001</f>
        <v>1.6E-2</v>
      </c>
      <c r="S810" s="59">
        <f>ROUND(S809/(S$799+S$801+S$803+S$805+S$807+S$809+S$811),3)</f>
        <v>1.7999999999999999E-2</v>
      </c>
      <c r="W810" s="105"/>
      <c r="X810" s="105"/>
      <c r="Y810" s="105"/>
      <c r="Z810" s="105"/>
      <c r="AA810" s="105"/>
      <c r="AB810" s="105"/>
      <c r="AC810" s="105"/>
      <c r="AD810" s="105"/>
      <c r="AE810" s="105"/>
      <c r="AF810" s="105"/>
      <c r="AG810" s="105"/>
      <c r="AH810" s="105"/>
      <c r="AL810" s="5"/>
      <c r="AN810" s="1"/>
    </row>
    <row r="811" spans="4:40" ht="12.75" customHeight="1" x14ac:dyDescent="0.15">
      <c r="D811" s="457" t="s">
        <v>121</v>
      </c>
      <c r="E811" s="401"/>
      <c r="F811" s="401"/>
      <c r="G811" s="458"/>
      <c r="H811" s="54">
        <f>I811+J811+K811</f>
        <v>11</v>
      </c>
      <c r="I811" s="55">
        <v>6</v>
      </c>
      <c r="J811" s="55">
        <v>1</v>
      </c>
      <c r="K811" s="56">
        <v>4</v>
      </c>
      <c r="L811" s="54">
        <f>M811+N811+O811</f>
        <v>17</v>
      </c>
      <c r="M811" s="55">
        <v>4</v>
      </c>
      <c r="N811" s="55">
        <v>1</v>
      </c>
      <c r="O811" s="55">
        <v>12</v>
      </c>
      <c r="P811" s="55">
        <f>Q811+R811+S811</f>
        <v>18</v>
      </c>
      <c r="Q811" s="55">
        <v>2</v>
      </c>
      <c r="R811" s="55">
        <v>5</v>
      </c>
      <c r="S811" s="55">
        <v>11</v>
      </c>
      <c r="W811" s="105"/>
      <c r="X811" s="105"/>
      <c r="Y811" s="105"/>
      <c r="Z811" s="105"/>
      <c r="AA811" s="105"/>
      <c r="AB811" s="105"/>
      <c r="AC811" s="105"/>
      <c r="AD811" s="105"/>
      <c r="AE811" s="105"/>
      <c r="AF811" s="105"/>
      <c r="AG811" s="105"/>
      <c r="AH811" s="105"/>
      <c r="AL811" s="5"/>
      <c r="AN811" s="1"/>
    </row>
    <row r="812" spans="4:40" ht="12.75" customHeight="1" x14ac:dyDescent="0.15">
      <c r="D812" s="459"/>
      <c r="E812" s="403"/>
      <c r="F812" s="403"/>
      <c r="G812" s="460"/>
      <c r="H812" s="58">
        <f t="shared" ref="H812:S812" si="207">ROUND(H811/(H$799+H$801+H$803+H$805+H$807+H$809+H$811),3)</f>
        <v>1.7999999999999999E-2</v>
      </c>
      <c r="I812" s="59">
        <f t="shared" si="207"/>
        <v>9.5000000000000001E-2</v>
      </c>
      <c r="J812" s="59">
        <f t="shared" si="207"/>
        <v>8.0000000000000002E-3</v>
      </c>
      <c r="K812" s="60">
        <f t="shared" si="207"/>
        <v>0.01</v>
      </c>
      <c r="L812" s="58">
        <f t="shared" si="207"/>
        <v>2.1000000000000001E-2</v>
      </c>
      <c r="M812" s="59">
        <f t="shared" si="207"/>
        <v>5.6000000000000001E-2</v>
      </c>
      <c r="N812" s="59">
        <f t="shared" si="207"/>
        <v>4.0000000000000001E-3</v>
      </c>
      <c r="O812" s="59">
        <f t="shared" si="207"/>
        <v>2.4E-2</v>
      </c>
      <c r="P812" s="59">
        <f t="shared" si="207"/>
        <v>2.1999999999999999E-2</v>
      </c>
      <c r="Q812" s="59">
        <f t="shared" si="207"/>
        <v>0.02</v>
      </c>
      <c r="R812" s="59">
        <f t="shared" si="207"/>
        <v>2.1000000000000001E-2</v>
      </c>
      <c r="S812" s="59">
        <f t="shared" si="207"/>
        <v>2.1999999999999999E-2</v>
      </c>
      <c r="W812" s="105"/>
      <c r="X812" s="105"/>
      <c r="Y812" s="105"/>
      <c r="Z812" s="105"/>
      <c r="AA812" s="105"/>
      <c r="AB812" s="105"/>
      <c r="AC812" s="105"/>
      <c r="AD812" s="105"/>
      <c r="AE812" s="105"/>
      <c r="AF812" s="105"/>
      <c r="AG812" s="105"/>
      <c r="AH812" s="105"/>
      <c r="AL812" s="5"/>
      <c r="AN812" s="1"/>
    </row>
    <row r="813" spans="4:40" ht="12.75" customHeight="1" x14ac:dyDescent="0.15">
      <c r="D813" s="457" t="s">
        <v>57</v>
      </c>
      <c r="E813" s="401"/>
      <c r="F813" s="401"/>
      <c r="G813" s="458"/>
      <c r="H813" s="467" t="s">
        <v>41</v>
      </c>
      <c r="I813" s="471" t="s">
        <v>41</v>
      </c>
      <c r="J813" s="471" t="s">
        <v>41</v>
      </c>
      <c r="K813" s="468" t="s">
        <v>41</v>
      </c>
      <c r="L813" s="467" t="s">
        <v>41</v>
      </c>
      <c r="M813" s="471" t="s">
        <v>41</v>
      </c>
      <c r="N813" s="471" t="s">
        <v>41</v>
      </c>
      <c r="O813" s="471" t="s">
        <v>41</v>
      </c>
      <c r="P813" s="365" t="s">
        <v>41</v>
      </c>
      <c r="Q813" s="368" t="s">
        <v>41</v>
      </c>
      <c r="R813" s="368" t="s">
        <v>41</v>
      </c>
      <c r="S813" s="368" t="s">
        <v>41</v>
      </c>
      <c r="W813" s="105"/>
      <c r="X813" s="105"/>
      <c r="Y813" s="105"/>
      <c r="Z813" s="105"/>
      <c r="AA813" s="105"/>
      <c r="AB813" s="105"/>
      <c r="AC813" s="105"/>
      <c r="AD813" s="105"/>
      <c r="AE813" s="105"/>
      <c r="AF813" s="105"/>
      <c r="AG813" s="105"/>
      <c r="AH813" s="105"/>
      <c r="AL813" s="5"/>
      <c r="AN813" s="1"/>
    </row>
    <row r="814" spans="4:40" ht="12.75" customHeight="1" x14ac:dyDescent="0.15">
      <c r="D814" s="459"/>
      <c r="E814" s="403"/>
      <c r="F814" s="403"/>
      <c r="G814" s="460"/>
      <c r="H814" s="470"/>
      <c r="I814" s="472"/>
      <c r="J814" s="472"/>
      <c r="K814" s="469"/>
      <c r="L814" s="470"/>
      <c r="M814" s="472"/>
      <c r="N814" s="472"/>
      <c r="O814" s="472"/>
      <c r="P814" s="366"/>
      <c r="Q814" s="369"/>
      <c r="R814" s="369"/>
      <c r="S814" s="369"/>
      <c r="W814" s="105"/>
      <c r="X814" s="105"/>
      <c r="Y814" s="105"/>
      <c r="Z814" s="105"/>
      <c r="AA814" s="105"/>
      <c r="AB814" s="105"/>
      <c r="AC814" s="105"/>
      <c r="AD814" s="105"/>
      <c r="AE814" s="105"/>
      <c r="AF814" s="105"/>
      <c r="AG814" s="105"/>
      <c r="AH814" s="105"/>
      <c r="AL814" s="5"/>
      <c r="AN814" s="1"/>
    </row>
    <row r="815" spans="4:40" ht="12.75" customHeight="1" x14ac:dyDescent="0.15">
      <c r="D815" s="399" t="s">
        <v>53</v>
      </c>
      <c r="E815" s="386"/>
      <c r="F815" s="386"/>
      <c r="G815" s="453"/>
      <c r="H815" s="54">
        <f t="shared" ref="H815:S816" si="208">H799+H801+H803+H805+H807+H809+H811</f>
        <v>597</v>
      </c>
      <c r="I815" s="55">
        <f t="shared" si="208"/>
        <v>63</v>
      </c>
      <c r="J815" s="55">
        <f t="shared" si="208"/>
        <v>124</v>
      </c>
      <c r="K815" s="56">
        <f t="shared" si="208"/>
        <v>410</v>
      </c>
      <c r="L815" s="54">
        <f t="shared" si="208"/>
        <v>795</v>
      </c>
      <c r="M815" s="55">
        <f t="shared" si="208"/>
        <v>72</v>
      </c>
      <c r="N815" s="55">
        <f t="shared" si="208"/>
        <v>224</v>
      </c>
      <c r="O815" s="55">
        <f t="shared" si="208"/>
        <v>499</v>
      </c>
      <c r="P815" s="55">
        <f t="shared" si="208"/>
        <v>835</v>
      </c>
      <c r="Q815" s="55">
        <f t="shared" si="208"/>
        <v>99</v>
      </c>
      <c r="R815" s="55">
        <f t="shared" si="208"/>
        <v>242</v>
      </c>
      <c r="S815" s="55">
        <f t="shared" si="208"/>
        <v>494</v>
      </c>
      <c r="W815" s="105"/>
      <c r="X815" s="105"/>
      <c r="Y815" s="105"/>
      <c r="Z815" s="105"/>
      <c r="AA815" s="105"/>
      <c r="AB815" s="105"/>
      <c r="AC815" s="105"/>
      <c r="AD815" s="105"/>
      <c r="AE815" s="105"/>
      <c r="AF815" s="105"/>
      <c r="AG815" s="105"/>
      <c r="AH815" s="105"/>
      <c r="AL815" s="5"/>
      <c r="AN815" s="1"/>
    </row>
    <row r="816" spans="4:40" ht="12.75" customHeight="1" thickBot="1" x14ac:dyDescent="0.2">
      <c r="D816" s="400"/>
      <c r="E816" s="443"/>
      <c r="F816" s="443"/>
      <c r="G816" s="454"/>
      <c r="H816" s="65">
        <f t="shared" si="208"/>
        <v>1.0000000000000002</v>
      </c>
      <c r="I816" s="66">
        <f t="shared" si="208"/>
        <v>1</v>
      </c>
      <c r="J816" s="66">
        <f t="shared" si="208"/>
        <v>0.99900000000000011</v>
      </c>
      <c r="K816" s="67">
        <f t="shared" si="208"/>
        <v>1</v>
      </c>
      <c r="L816" s="68">
        <f t="shared" si="208"/>
        <v>1.0010000000000001</v>
      </c>
      <c r="M816" s="69">
        <f t="shared" si="208"/>
        <v>1.0010000000000001</v>
      </c>
      <c r="N816" s="69">
        <f t="shared" si="208"/>
        <v>1</v>
      </c>
      <c r="O816" s="69">
        <f t="shared" si="208"/>
        <v>0.99900000000000011</v>
      </c>
      <c r="P816" s="69">
        <f t="shared" si="208"/>
        <v>1</v>
      </c>
      <c r="Q816" s="69">
        <f t="shared" si="208"/>
        <v>1</v>
      </c>
      <c r="R816" s="69">
        <f t="shared" si="208"/>
        <v>1</v>
      </c>
      <c r="S816" s="69">
        <f t="shared" si="208"/>
        <v>1</v>
      </c>
      <c r="W816" s="105"/>
      <c r="X816" s="105"/>
      <c r="Y816" s="105"/>
      <c r="Z816" s="105"/>
      <c r="AA816" s="105"/>
      <c r="AB816" s="105"/>
      <c r="AC816" s="105"/>
      <c r="AD816" s="105"/>
      <c r="AE816" s="105"/>
      <c r="AF816" s="105"/>
      <c r="AG816" s="105"/>
      <c r="AH816" s="105"/>
      <c r="AL816" s="5"/>
      <c r="AN816" s="1"/>
    </row>
    <row r="817" spans="4:34" x14ac:dyDescent="0.15">
      <c r="D817" s="100"/>
      <c r="E817" s="100"/>
      <c r="F817" s="90"/>
      <c r="G817" s="90"/>
      <c r="H817" s="90"/>
      <c r="I817" s="90"/>
      <c r="J817" s="78"/>
      <c r="K817" s="78"/>
      <c r="L817" s="78"/>
      <c r="M817" s="78"/>
      <c r="N817" s="78"/>
      <c r="O817" s="78"/>
      <c r="P817" s="78"/>
      <c r="Q817" s="78"/>
      <c r="R817" s="72"/>
      <c r="S817" s="72"/>
      <c r="V817" s="46"/>
      <c r="W817" s="52"/>
      <c r="X817" s="105"/>
      <c r="Y817" s="105"/>
      <c r="Z817" s="105"/>
      <c r="AA817" s="105"/>
      <c r="AB817" s="105"/>
      <c r="AC817" s="105"/>
      <c r="AD817" s="105"/>
      <c r="AE817" s="105"/>
      <c r="AF817" s="105"/>
      <c r="AG817" s="105"/>
      <c r="AH817" s="105"/>
    </row>
    <row r="818" spans="4:34" x14ac:dyDescent="0.15">
      <c r="D818" s="100"/>
      <c r="E818" s="100"/>
      <c r="F818" s="90"/>
      <c r="G818" s="90"/>
      <c r="H818" s="90"/>
      <c r="I818" s="90"/>
      <c r="J818" s="78"/>
      <c r="K818" s="78"/>
      <c r="L818" s="78"/>
      <c r="M818" s="78"/>
      <c r="N818" s="78"/>
      <c r="O818" s="78"/>
      <c r="P818" s="78"/>
      <c r="Q818" s="78"/>
      <c r="R818" s="72"/>
      <c r="S818" s="72"/>
      <c r="V818" s="46"/>
      <c r="W818" s="52"/>
      <c r="X818" s="105"/>
      <c r="Y818" s="105"/>
      <c r="Z818" s="105"/>
      <c r="AA818" s="105"/>
      <c r="AB818" s="105"/>
      <c r="AC818" s="105"/>
      <c r="AD818" s="105"/>
      <c r="AE818" s="105"/>
      <c r="AF818" s="105"/>
      <c r="AG818" s="105"/>
      <c r="AH818" s="105"/>
    </row>
    <row r="819" spans="4:34" x14ac:dyDescent="0.15">
      <c r="D819" s="100"/>
      <c r="E819" s="100"/>
      <c r="F819" s="90"/>
      <c r="G819" s="90"/>
      <c r="H819" s="90"/>
      <c r="I819" s="90"/>
      <c r="J819" s="78"/>
      <c r="K819" s="78"/>
      <c r="L819" s="78"/>
      <c r="M819" s="78"/>
      <c r="N819" s="78"/>
      <c r="O819" s="78"/>
      <c r="P819" s="78"/>
      <c r="Q819" s="78"/>
      <c r="R819" s="72"/>
      <c r="S819" s="72"/>
      <c r="V819" s="46"/>
      <c r="W819" s="52"/>
      <c r="X819" s="105"/>
      <c r="Y819" s="105"/>
      <c r="Z819" s="105"/>
      <c r="AA819" s="105"/>
      <c r="AB819" s="105"/>
      <c r="AC819" s="105"/>
      <c r="AD819" s="105"/>
      <c r="AE819" s="105"/>
      <c r="AF819" s="105"/>
      <c r="AG819" s="105"/>
      <c r="AH819" s="105"/>
    </row>
    <row r="820" spans="4:34" x14ac:dyDescent="0.15">
      <c r="D820" s="100"/>
      <c r="E820" s="100"/>
      <c r="F820" s="90"/>
      <c r="G820" s="90"/>
      <c r="H820" s="90"/>
      <c r="I820" s="90"/>
      <c r="J820" s="78"/>
      <c r="K820" s="78"/>
      <c r="L820" s="78"/>
      <c r="M820" s="78"/>
      <c r="N820" s="78"/>
      <c r="O820" s="78"/>
      <c r="P820" s="78"/>
      <c r="Q820" s="78"/>
      <c r="R820" s="72"/>
      <c r="S820" s="72"/>
      <c r="V820" s="46"/>
      <c r="W820" s="52"/>
      <c r="X820" s="105"/>
      <c r="Y820" s="105"/>
      <c r="Z820" s="105"/>
      <c r="AA820" s="105"/>
      <c r="AB820" s="105"/>
      <c r="AC820" s="105"/>
      <c r="AD820" s="105"/>
      <c r="AE820" s="105"/>
      <c r="AF820" s="105"/>
      <c r="AG820" s="105"/>
      <c r="AH820" s="105"/>
    </row>
    <row r="821" spans="4:34" x14ac:dyDescent="0.15">
      <c r="D821" s="100"/>
      <c r="E821" s="100"/>
      <c r="F821" s="90"/>
      <c r="G821" s="90"/>
      <c r="H821" s="90"/>
      <c r="I821" s="90"/>
      <c r="J821" s="78"/>
      <c r="K821" s="78"/>
      <c r="L821" s="78"/>
      <c r="M821" s="78"/>
      <c r="N821" s="78"/>
      <c r="O821" s="78"/>
      <c r="P821" s="78"/>
      <c r="Q821" s="78"/>
      <c r="R821" s="72"/>
      <c r="S821" s="72"/>
      <c r="T821" s="46"/>
      <c r="U821" s="47"/>
      <c r="V821" s="46"/>
      <c r="W821" s="52"/>
      <c r="X821" s="105"/>
      <c r="Y821" s="105"/>
      <c r="Z821" s="105"/>
      <c r="AA821" s="105"/>
      <c r="AB821" s="105"/>
      <c r="AC821" s="105"/>
      <c r="AD821" s="105"/>
      <c r="AE821" s="105"/>
      <c r="AF821" s="105"/>
      <c r="AG821" s="105"/>
      <c r="AH821" s="105"/>
    </row>
    <row r="822" spans="4:34" x14ac:dyDescent="0.15">
      <c r="D822" s="100"/>
      <c r="E822" s="100"/>
      <c r="F822" s="90"/>
      <c r="G822" s="90"/>
      <c r="H822" s="90"/>
      <c r="I822" s="90"/>
      <c r="J822" s="78"/>
      <c r="K822" s="78"/>
      <c r="L822" s="78"/>
      <c r="M822" s="78"/>
      <c r="N822" s="78"/>
      <c r="O822" s="78"/>
      <c r="P822" s="78"/>
      <c r="Q822" s="78"/>
      <c r="R822" s="72"/>
      <c r="S822" s="72"/>
      <c r="T822" s="46" t="s">
        <v>212</v>
      </c>
      <c r="U822" s="47">
        <v>367</v>
      </c>
      <c r="V822" s="46"/>
      <c r="W822" s="52"/>
      <c r="X822" s="105"/>
      <c r="Y822" s="105"/>
      <c r="Z822" s="105"/>
      <c r="AA822" s="105"/>
      <c r="AB822" s="105"/>
      <c r="AC822" s="105"/>
      <c r="AD822" s="105"/>
      <c r="AE822" s="105"/>
      <c r="AF822" s="105"/>
      <c r="AG822" s="105"/>
      <c r="AH822" s="105"/>
    </row>
    <row r="823" spans="4:34" x14ac:dyDescent="0.15">
      <c r="D823" s="100"/>
      <c r="E823" s="100"/>
      <c r="F823" s="90"/>
      <c r="G823" s="90"/>
      <c r="H823" s="90"/>
      <c r="I823" s="90"/>
      <c r="J823" s="78"/>
      <c r="K823" s="78"/>
      <c r="L823" s="78"/>
      <c r="M823" s="78"/>
      <c r="N823" s="78"/>
      <c r="O823" s="78"/>
      <c r="P823" s="78"/>
      <c r="Q823" s="78"/>
      <c r="R823" s="72"/>
      <c r="S823" s="72"/>
      <c r="T823" s="46" t="s">
        <v>213</v>
      </c>
      <c r="U823" s="47">
        <v>96</v>
      </c>
      <c r="V823" s="46"/>
      <c r="W823" s="52"/>
      <c r="X823" s="105"/>
      <c r="Y823" s="105"/>
      <c r="Z823" s="105"/>
      <c r="AA823" s="105"/>
      <c r="AB823" s="105"/>
      <c r="AC823" s="105"/>
      <c r="AD823" s="105"/>
      <c r="AE823" s="105"/>
      <c r="AF823" s="105"/>
      <c r="AG823" s="105"/>
      <c r="AH823" s="105"/>
    </row>
    <row r="824" spans="4:34" x14ac:dyDescent="0.15">
      <c r="D824" s="100"/>
      <c r="E824" s="100"/>
      <c r="F824" s="90"/>
      <c r="G824" s="90"/>
      <c r="H824" s="90"/>
      <c r="I824" s="90"/>
      <c r="J824" s="78"/>
      <c r="K824" s="78"/>
      <c r="L824" s="78"/>
      <c r="M824" s="78"/>
      <c r="N824" s="78"/>
      <c r="O824" s="78"/>
      <c r="P824" s="78"/>
      <c r="Q824" s="78"/>
      <c r="R824" s="72"/>
      <c r="S824" s="72"/>
      <c r="T824" s="46" t="s">
        <v>214</v>
      </c>
      <c r="U824" s="47">
        <v>42</v>
      </c>
      <c r="V824" s="46"/>
      <c r="W824" s="52"/>
      <c r="X824" s="105"/>
      <c r="Y824" s="105"/>
      <c r="Z824" s="105"/>
      <c r="AA824" s="105"/>
      <c r="AB824" s="105"/>
      <c r="AC824" s="105"/>
      <c r="AD824" s="105"/>
      <c r="AE824" s="105"/>
      <c r="AF824" s="105"/>
      <c r="AG824" s="105"/>
      <c r="AH824" s="105"/>
    </row>
    <row r="825" spans="4:34" x14ac:dyDescent="0.15">
      <c r="D825" s="100"/>
      <c r="E825" s="100"/>
      <c r="F825" s="90"/>
      <c r="G825" s="90"/>
      <c r="H825" s="90"/>
      <c r="I825" s="90"/>
      <c r="J825" s="78"/>
      <c r="K825" s="78"/>
      <c r="L825" s="78"/>
      <c r="M825" s="78"/>
      <c r="N825" s="78"/>
      <c r="O825" s="78"/>
      <c r="P825" s="78"/>
      <c r="Q825" s="78"/>
      <c r="R825" s="72"/>
      <c r="S825" s="72"/>
      <c r="T825" s="46" t="s">
        <v>215</v>
      </c>
      <c r="U825" s="47">
        <v>38</v>
      </c>
      <c r="V825" s="46"/>
      <c r="W825" s="52"/>
      <c r="X825" s="105"/>
      <c r="Y825" s="105"/>
      <c r="Z825" s="105"/>
      <c r="AA825" s="105"/>
      <c r="AB825" s="105"/>
      <c r="AC825" s="105"/>
      <c r="AD825" s="105"/>
      <c r="AE825" s="105"/>
      <c r="AF825" s="105"/>
      <c r="AG825" s="105"/>
      <c r="AH825" s="105"/>
    </row>
    <row r="826" spans="4:34" x14ac:dyDescent="0.15">
      <c r="D826" s="100"/>
      <c r="E826" s="100"/>
      <c r="F826" s="90"/>
      <c r="G826" s="90"/>
      <c r="H826" s="90"/>
      <c r="I826" s="90"/>
      <c r="J826" s="78"/>
      <c r="K826" s="78"/>
      <c r="L826" s="78"/>
      <c r="M826" s="78"/>
      <c r="N826" s="78"/>
      <c r="O826" s="78"/>
      <c r="P826" s="78"/>
      <c r="Q826" s="78"/>
      <c r="R826" s="72"/>
      <c r="S826" s="72"/>
      <c r="T826" s="46" t="s">
        <v>205</v>
      </c>
      <c r="U826" s="47">
        <v>33</v>
      </c>
      <c r="V826" s="46"/>
      <c r="W826" s="52"/>
      <c r="X826" s="105"/>
      <c r="Y826" s="105"/>
      <c r="Z826" s="105"/>
      <c r="AA826" s="105"/>
      <c r="AB826" s="105"/>
      <c r="AC826" s="105"/>
      <c r="AD826" s="105"/>
      <c r="AE826" s="105"/>
      <c r="AF826" s="105"/>
      <c r="AG826" s="105"/>
      <c r="AH826" s="105"/>
    </row>
    <row r="827" spans="4:34" x14ac:dyDescent="0.15">
      <c r="D827" s="100"/>
      <c r="E827" s="100"/>
      <c r="F827" s="90"/>
      <c r="G827" s="90"/>
      <c r="H827" s="90"/>
      <c r="I827" s="90"/>
      <c r="J827" s="78"/>
      <c r="K827" s="78"/>
      <c r="L827" s="78"/>
      <c r="M827" s="78"/>
      <c r="N827" s="78"/>
      <c r="O827" s="78"/>
      <c r="P827" s="78"/>
      <c r="Q827" s="78"/>
      <c r="R827" s="72"/>
      <c r="S827" s="72"/>
      <c r="T827" s="141" t="s">
        <v>217</v>
      </c>
      <c r="U827" s="47">
        <v>10</v>
      </c>
      <c r="V827" s="46"/>
      <c r="W827" s="52"/>
      <c r="X827" s="105"/>
      <c r="Y827" s="105"/>
      <c r="Z827" s="105"/>
      <c r="AA827" s="105"/>
      <c r="AB827" s="105"/>
      <c r="AC827" s="105"/>
      <c r="AD827" s="105"/>
      <c r="AE827" s="105"/>
      <c r="AF827" s="105"/>
      <c r="AG827" s="105"/>
      <c r="AH827" s="105"/>
    </row>
    <row r="828" spans="4:34" x14ac:dyDescent="0.15">
      <c r="D828" s="100"/>
      <c r="E828" s="100"/>
      <c r="F828" s="90"/>
      <c r="G828" s="90"/>
      <c r="H828" s="90"/>
      <c r="I828" s="90"/>
      <c r="J828" s="78"/>
      <c r="K828" s="78"/>
      <c r="L828" s="78"/>
      <c r="M828" s="78"/>
      <c r="N828" s="78"/>
      <c r="O828" s="78"/>
      <c r="P828" s="78"/>
      <c r="Q828" s="78"/>
      <c r="R828" s="72"/>
      <c r="S828" s="72"/>
      <c r="T828" s="46" t="s">
        <v>121</v>
      </c>
      <c r="U828" s="47">
        <v>11</v>
      </c>
      <c r="V828" s="46"/>
      <c r="W828" s="52"/>
      <c r="X828" s="105"/>
      <c r="Y828" s="105"/>
      <c r="Z828" s="105"/>
      <c r="AA828" s="105"/>
      <c r="AB828" s="105"/>
      <c r="AC828" s="105"/>
      <c r="AD828" s="105"/>
      <c r="AE828" s="105"/>
      <c r="AF828" s="105"/>
      <c r="AG828" s="105"/>
      <c r="AH828" s="105"/>
    </row>
    <row r="829" spans="4:34" x14ac:dyDescent="0.15">
      <c r="D829" s="100"/>
      <c r="E829" s="100"/>
      <c r="F829" s="90"/>
      <c r="G829" s="90"/>
      <c r="H829" s="90"/>
      <c r="I829" s="90"/>
      <c r="J829" s="78"/>
      <c r="K829" s="78"/>
      <c r="L829" s="78"/>
      <c r="M829" s="78"/>
      <c r="N829" s="78"/>
      <c r="O829" s="78"/>
      <c r="P829" s="78"/>
      <c r="Q829" s="78"/>
      <c r="R829" s="72"/>
      <c r="S829" s="72"/>
      <c r="T829" s="46"/>
      <c r="U829" s="47"/>
      <c r="V829" s="46"/>
      <c r="W829" s="52"/>
      <c r="X829" s="105"/>
      <c r="Y829" s="105"/>
      <c r="Z829" s="105"/>
      <c r="AA829" s="105"/>
      <c r="AB829" s="105"/>
      <c r="AC829" s="105"/>
      <c r="AD829" s="105"/>
      <c r="AE829" s="105"/>
      <c r="AF829" s="105"/>
      <c r="AG829" s="105"/>
      <c r="AH829" s="105"/>
    </row>
    <row r="830" spans="4:34" x14ac:dyDescent="0.15">
      <c r="D830" s="100"/>
      <c r="E830" s="100"/>
      <c r="F830" s="90"/>
      <c r="G830" s="90"/>
      <c r="H830" s="90"/>
      <c r="I830" s="90"/>
      <c r="J830" s="78"/>
      <c r="K830" s="78"/>
      <c r="L830" s="78"/>
      <c r="M830" s="78"/>
      <c r="N830" s="78"/>
      <c r="O830" s="78"/>
      <c r="P830" s="78"/>
      <c r="Q830" s="78"/>
      <c r="R830" s="72"/>
      <c r="S830" s="72"/>
      <c r="U830" s="47"/>
      <c r="V830" s="46"/>
      <c r="W830" s="52"/>
      <c r="X830" s="105"/>
      <c r="Y830" s="105"/>
      <c r="Z830" s="105"/>
      <c r="AA830" s="105"/>
      <c r="AB830" s="105"/>
      <c r="AC830" s="105"/>
      <c r="AD830" s="105"/>
      <c r="AE830" s="105"/>
      <c r="AF830" s="105"/>
      <c r="AG830" s="105"/>
      <c r="AH830" s="105"/>
    </row>
    <row r="831" spans="4:34" x14ac:dyDescent="0.15">
      <c r="D831" s="100"/>
      <c r="E831" s="100"/>
      <c r="F831" s="90"/>
      <c r="G831" s="90"/>
      <c r="H831" s="90"/>
      <c r="I831" s="90"/>
      <c r="J831" s="78"/>
      <c r="K831" s="78"/>
      <c r="L831" s="78"/>
      <c r="M831" s="78"/>
      <c r="N831" s="78"/>
      <c r="O831" s="78"/>
      <c r="P831" s="78"/>
      <c r="Q831" s="78"/>
      <c r="R831" s="72"/>
      <c r="S831" s="72"/>
      <c r="T831" s="46"/>
      <c r="U831" s="47"/>
      <c r="V831" s="46"/>
      <c r="W831" s="52"/>
      <c r="X831" s="105"/>
      <c r="Y831" s="105"/>
      <c r="Z831" s="105"/>
      <c r="AA831" s="105"/>
      <c r="AB831" s="105"/>
      <c r="AC831" s="105"/>
      <c r="AD831" s="105"/>
      <c r="AE831" s="105"/>
      <c r="AF831" s="105"/>
      <c r="AG831" s="105"/>
      <c r="AH831" s="105"/>
    </row>
    <row r="832" spans="4:34" x14ac:dyDescent="0.15">
      <c r="D832" s="100"/>
      <c r="E832" s="100"/>
      <c r="F832" s="90"/>
      <c r="G832" s="90"/>
      <c r="H832" s="90"/>
      <c r="I832" s="90"/>
      <c r="J832" s="78"/>
      <c r="K832" s="78"/>
      <c r="L832" s="78"/>
      <c r="M832" s="78"/>
      <c r="N832" s="78"/>
      <c r="O832" s="78"/>
      <c r="P832" s="78"/>
      <c r="Q832" s="78"/>
      <c r="R832" s="72"/>
      <c r="S832" s="72"/>
      <c r="U832" s="47"/>
      <c r="V832" s="46"/>
      <c r="W832" s="52"/>
      <c r="X832" s="105"/>
      <c r="Y832" s="105"/>
      <c r="Z832" s="105"/>
      <c r="AA832" s="105"/>
      <c r="AB832" s="105"/>
      <c r="AC832" s="105"/>
      <c r="AD832" s="105"/>
      <c r="AE832" s="105"/>
      <c r="AF832" s="105"/>
      <c r="AG832" s="105"/>
      <c r="AH832" s="105"/>
    </row>
    <row r="833" spans="3:40" x14ac:dyDescent="0.15">
      <c r="D833" s="100"/>
      <c r="E833" s="100"/>
      <c r="F833" s="90"/>
      <c r="G833" s="90"/>
      <c r="H833" s="90"/>
      <c r="I833" s="90"/>
      <c r="J833" s="78"/>
      <c r="K833" s="78"/>
      <c r="L833" s="78"/>
      <c r="M833" s="78"/>
      <c r="N833" s="78"/>
      <c r="O833" s="78"/>
      <c r="P833" s="78"/>
      <c r="Q833" s="78"/>
      <c r="R833" s="72"/>
      <c r="S833" s="72"/>
      <c r="T833" s="46"/>
      <c r="U833" s="47"/>
      <c r="V833" s="46"/>
      <c r="W833" s="52"/>
      <c r="X833" s="105"/>
      <c r="Y833" s="105"/>
      <c r="Z833" s="105"/>
      <c r="AA833" s="105"/>
      <c r="AB833" s="105"/>
      <c r="AC833" s="105"/>
      <c r="AD833" s="105"/>
      <c r="AE833" s="105"/>
      <c r="AF833" s="105"/>
      <c r="AG833" s="105"/>
      <c r="AH833" s="105"/>
    </row>
    <row r="834" spans="3:40" x14ac:dyDescent="0.15">
      <c r="D834" s="100"/>
      <c r="E834" s="100"/>
      <c r="F834" s="90"/>
      <c r="G834" s="90"/>
      <c r="H834" s="90"/>
      <c r="I834" s="90"/>
      <c r="J834" s="78"/>
      <c r="K834" s="78"/>
      <c r="L834" s="78"/>
      <c r="M834" s="78"/>
      <c r="N834" s="78"/>
      <c r="O834" s="78"/>
      <c r="P834" s="78"/>
      <c r="Q834" s="78"/>
      <c r="R834" s="72"/>
      <c r="S834" s="72"/>
      <c r="U834" s="47"/>
      <c r="V834" s="46"/>
      <c r="W834" s="52"/>
      <c r="X834" s="105"/>
      <c r="Y834" s="105"/>
      <c r="Z834" s="105"/>
      <c r="AA834" s="105"/>
      <c r="AB834" s="105"/>
      <c r="AC834" s="105"/>
      <c r="AD834" s="105"/>
      <c r="AE834" s="105"/>
      <c r="AF834" s="105"/>
      <c r="AG834" s="105"/>
      <c r="AH834" s="105"/>
    </row>
    <row r="835" spans="3:40" x14ac:dyDescent="0.15">
      <c r="D835" s="100"/>
      <c r="E835" s="100"/>
      <c r="F835" s="90"/>
      <c r="G835" s="90"/>
      <c r="H835" s="90"/>
      <c r="I835" s="90"/>
      <c r="J835" s="78"/>
      <c r="K835" s="78"/>
      <c r="L835" s="78"/>
      <c r="M835" s="78"/>
      <c r="N835" s="78"/>
      <c r="O835" s="78"/>
      <c r="P835" s="78"/>
      <c r="Q835" s="78"/>
      <c r="R835" s="72"/>
      <c r="S835" s="72"/>
      <c r="T835" s="46"/>
      <c r="U835" s="47"/>
      <c r="V835" s="46"/>
      <c r="W835" s="52"/>
      <c r="X835" s="105"/>
      <c r="Y835" s="105"/>
      <c r="Z835" s="105"/>
      <c r="AA835" s="105"/>
      <c r="AB835" s="105"/>
      <c r="AC835" s="105"/>
      <c r="AD835" s="105"/>
      <c r="AE835" s="105"/>
      <c r="AF835" s="105"/>
      <c r="AG835" s="105"/>
      <c r="AH835" s="105"/>
    </row>
    <row r="836" spans="3:40" x14ac:dyDescent="0.15">
      <c r="D836" s="100"/>
      <c r="E836" s="100"/>
      <c r="F836" s="90"/>
      <c r="G836" s="90"/>
      <c r="H836" s="90"/>
      <c r="I836" s="90"/>
      <c r="J836" s="78"/>
      <c r="K836" s="78"/>
      <c r="L836" s="78"/>
      <c r="M836" s="78"/>
      <c r="N836" s="78"/>
      <c r="O836" s="78"/>
      <c r="P836" s="78"/>
      <c r="Q836" s="78"/>
      <c r="R836" s="72"/>
      <c r="S836" s="72"/>
      <c r="T836" s="46"/>
      <c r="U836" s="47"/>
      <c r="V836" s="46"/>
      <c r="W836" s="52"/>
      <c r="X836" s="105"/>
      <c r="Y836" s="105"/>
      <c r="Z836" s="105"/>
      <c r="AA836" s="105"/>
      <c r="AB836" s="105"/>
      <c r="AC836" s="105"/>
      <c r="AD836" s="105"/>
      <c r="AE836" s="105"/>
      <c r="AF836" s="105"/>
      <c r="AG836" s="105"/>
      <c r="AH836" s="105"/>
    </row>
    <row r="837" spans="3:40" x14ac:dyDescent="0.15">
      <c r="D837" s="100"/>
      <c r="E837" s="100"/>
      <c r="F837" s="90"/>
      <c r="G837" s="90"/>
      <c r="H837" s="90"/>
      <c r="I837" s="90"/>
      <c r="J837" s="78"/>
      <c r="K837" s="78"/>
      <c r="L837" s="78"/>
      <c r="M837" s="78"/>
      <c r="N837" s="78"/>
      <c r="O837" s="78"/>
      <c r="P837" s="78"/>
      <c r="Q837" s="78"/>
      <c r="R837" s="72"/>
      <c r="S837" s="72"/>
      <c r="T837" s="46"/>
      <c r="U837" s="47"/>
      <c r="V837" s="46"/>
      <c r="W837" s="2"/>
    </row>
    <row r="838" spans="3:40" x14ac:dyDescent="0.15">
      <c r="D838" s="100"/>
      <c r="E838" s="100"/>
      <c r="F838" s="90"/>
      <c r="G838" s="90"/>
      <c r="H838" s="90"/>
      <c r="I838" s="90"/>
      <c r="J838" s="78"/>
      <c r="K838" s="78"/>
      <c r="L838" s="78"/>
      <c r="M838" s="78"/>
      <c r="N838" s="78"/>
      <c r="O838" s="78"/>
      <c r="P838" s="78"/>
      <c r="Q838" s="78"/>
      <c r="R838" s="72"/>
      <c r="S838" s="72"/>
      <c r="T838" s="46"/>
      <c r="U838" s="47"/>
      <c r="V838" s="46"/>
      <c r="W838" s="2"/>
    </row>
    <row r="839" spans="3:40" x14ac:dyDescent="0.15">
      <c r="D839" s="100"/>
      <c r="E839" s="100"/>
      <c r="F839" s="90"/>
      <c r="G839" s="90"/>
      <c r="H839" s="90"/>
      <c r="I839" s="90"/>
      <c r="J839" s="78"/>
      <c r="K839" s="78"/>
      <c r="L839" s="78"/>
      <c r="M839" s="78"/>
      <c r="N839" s="78"/>
      <c r="O839" s="78"/>
      <c r="P839" s="78"/>
      <c r="Q839" s="78"/>
      <c r="R839" s="72"/>
      <c r="S839" s="72"/>
      <c r="T839" s="46"/>
      <c r="U839" s="47"/>
      <c r="V839" s="46"/>
      <c r="W839" s="2"/>
    </row>
    <row r="840" spans="3:40" x14ac:dyDescent="0.15">
      <c r="D840" s="100"/>
      <c r="E840" s="100"/>
      <c r="F840" s="90"/>
      <c r="G840" s="90"/>
      <c r="H840" s="90"/>
      <c r="I840" s="90"/>
      <c r="J840" s="78"/>
      <c r="K840" s="78"/>
      <c r="L840" s="78"/>
      <c r="M840" s="78"/>
      <c r="N840" s="78"/>
      <c r="O840" s="78"/>
      <c r="P840" s="78"/>
      <c r="Q840" s="78"/>
      <c r="R840" s="72"/>
      <c r="S840" s="72"/>
      <c r="T840" s="46"/>
      <c r="U840" s="47"/>
      <c r="V840" s="46"/>
      <c r="W840" s="2"/>
    </row>
    <row r="841" spans="3:40" x14ac:dyDescent="0.15">
      <c r="D841" s="100"/>
      <c r="E841" s="100"/>
      <c r="F841" s="90"/>
      <c r="G841" s="90"/>
      <c r="H841" s="90"/>
      <c r="I841" s="90"/>
      <c r="J841" s="78"/>
      <c r="K841" s="78"/>
      <c r="L841" s="78"/>
      <c r="M841" s="78"/>
      <c r="N841" s="78"/>
      <c r="O841" s="78"/>
      <c r="P841" s="78"/>
      <c r="Q841" s="78"/>
      <c r="R841" s="72"/>
      <c r="S841" s="72"/>
      <c r="T841" s="46"/>
      <c r="U841" s="47"/>
      <c r="V841" s="46"/>
      <c r="W841" s="2"/>
    </row>
    <row r="842" spans="3:40" ht="14.25" thickBot="1" x14ac:dyDescent="0.2">
      <c r="C842" s="2" t="s">
        <v>218</v>
      </c>
      <c r="D842" s="100"/>
      <c r="E842" s="100"/>
      <c r="F842" s="90"/>
      <c r="G842" s="90"/>
      <c r="H842" s="90"/>
      <c r="I842" s="90"/>
      <c r="J842" s="78"/>
      <c r="K842" s="78"/>
      <c r="L842" s="78"/>
      <c r="M842" s="78"/>
      <c r="N842" s="78"/>
      <c r="O842" s="78"/>
      <c r="P842" s="78"/>
      <c r="Q842" s="78"/>
      <c r="R842" s="72"/>
      <c r="S842" s="72"/>
      <c r="T842" s="46"/>
      <c r="U842" s="47"/>
      <c r="V842" s="46"/>
      <c r="W842" s="2"/>
    </row>
    <row r="843" spans="3:40" ht="12.75" customHeight="1" x14ac:dyDescent="0.15">
      <c r="D843" s="91"/>
      <c r="E843" s="92"/>
      <c r="F843" s="92"/>
      <c r="G843" s="113"/>
      <c r="H843" s="444" t="s">
        <v>26</v>
      </c>
      <c r="I843" s="455"/>
      <c r="J843" s="455"/>
      <c r="K843" s="456"/>
      <c r="L843" s="467" t="s">
        <v>27</v>
      </c>
      <c r="M843" s="451"/>
      <c r="N843" s="451"/>
      <c r="O843" s="452"/>
      <c r="P843" s="399" t="s">
        <v>28</v>
      </c>
      <c r="Q843" s="386"/>
      <c r="R843" s="386"/>
      <c r="S843" s="387"/>
      <c r="T843" s="46"/>
      <c r="U843" s="47"/>
      <c r="AL843" s="5"/>
      <c r="AN843" s="1"/>
    </row>
    <row r="844" spans="3:40" ht="12.75" customHeight="1" x14ac:dyDescent="0.15">
      <c r="D844" s="93"/>
      <c r="E844" s="94"/>
      <c r="F844" s="94"/>
      <c r="G844" s="136"/>
      <c r="H844" s="371"/>
      <c r="I844" s="364" t="s">
        <v>29</v>
      </c>
      <c r="J844" s="364" t="s">
        <v>30</v>
      </c>
      <c r="K844" s="374" t="s">
        <v>31</v>
      </c>
      <c r="L844" s="371"/>
      <c r="M844" s="364" t="s">
        <v>29</v>
      </c>
      <c r="N844" s="364" t="s">
        <v>30</v>
      </c>
      <c r="O844" s="375" t="s">
        <v>31</v>
      </c>
      <c r="P844" s="372"/>
      <c r="Q844" s="364" t="s">
        <v>29</v>
      </c>
      <c r="R844" s="364" t="s">
        <v>30</v>
      </c>
      <c r="S844" s="375" t="s">
        <v>31</v>
      </c>
      <c r="T844" s="46"/>
      <c r="U844" s="47"/>
      <c r="AL844" s="5"/>
      <c r="AN844" s="1"/>
    </row>
    <row r="845" spans="3:40" ht="12.75" customHeight="1" x14ac:dyDescent="0.15">
      <c r="D845" s="457" t="s">
        <v>219</v>
      </c>
      <c r="E845" s="401"/>
      <c r="F845" s="401"/>
      <c r="G845" s="458"/>
      <c r="H845" s="54">
        <f>I845+J845+K845</f>
        <v>269</v>
      </c>
      <c r="I845" s="55">
        <v>23</v>
      </c>
      <c r="J845" s="55">
        <v>53</v>
      </c>
      <c r="K845" s="56">
        <v>193</v>
      </c>
      <c r="L845" s="54">
        <f>M845+N845+O845</f>
        <v>276</v>
      </c>
      <c r="M845" s="55">
        <v>15</v>
      </c>
      <c r="N845" s="55">
        <v>67</v>
      </c>
      <c r="O845" s="55">
        <v>194</v>
      </c>
      <c r="P845" s="55">
        <f>Q845+R845+S845</f>
        <v>272</v>
      </c>
      <c r="Q845" s="55">
        <v>25</v>
      </c>
      <c r="R845" s="55">
        <v>68</v>
      </c>
      <c r="S845" s="55">
        <v>179</v>
      </c>
      <c r="T845" s="46"/>
      <c r="U845" s="47"/>
      <c r="AL845" s="5"/>
      <c r="AN845" s="1"/>
    </row>
    <row r="846" spans="3:40" ht="12.75" customHeight="1" x14ac:dyDescent="0.15">
      <c r="D846" s="459"/>
      <c r="E846" s="403"/>
      <c r="F846" s="403"/>
      <c r="G846" s="460"/>
      <c r="H846" s="58">
        <f t="shared" ref="H846:S846" si="209">ROUND(H845/(H$845+H$847+H$849+H$851+H$853+H$855+H$857+H$859+H$861),3)</f>
        <v>0.45</v>
      </c>
      <c r="I846" s="59">
        <f t="shared" si="209"/>
        <v>0.36499999999999999</v>
      </c>
      <c r="J846" s="59">
        <f t="shared" si="209"/>
        <v>0.42399999999999999</v>
      </c>
      <c r="K846" s="60">
        <f t="shared" si="209"/>
        <v>0.47099999999999997</v>
      </c>
      <c r="L846" s="58">
        <f t="shared" si="209"/>
        <v>0.309</v>
      </c>
      <c r="M846" s="59">
        <f t="shared" si="209"/>
        <v>0.183</v>
      </c>
      <c r="N846" s="59">
        <f t="shared" si="209"/>
        <v>0.27500000000000002</v>
      </c>
      <c r="O846" s="59">
        <f t="shared" si="209"/>
        <v>0.34200000000000003</v>
      </c>
      <c r="P846" s="59">
        <f t="shared" si="209"/>
        <v>0.28899999999999998</v>
      </c>
      <c r="Q846" s="59">
        <f t="shared" si="209"/>
        <v>0.22900000000000001</v>
      </c>
      <c r="R846" s="59">
        <f t="shared" si="209"/>
        <v>0.253</v>
      </c>
      <c r="S846" s="59">
        <f t="shared" si="209"/>
        <v>0.31900000000000001</v>
      </c>
      <c r="T846" s="46"/>
      <c r="U846" s="47"/>
      <c r="AL846" s="5"/>
      <c r="AN846" s="1"/>
    </row>
    <row r="847" spans="3:40" ht="12.75" customHeight="1" x14ac:dyDescent="0.15">
      <c r="D847" s="457" t="s">
        <v>220</v>
      </c>
      <c r="E847" s="401"/>
      <c r="F847" s="401"/>
      <c r="G847" s="458"/>
      <c r="H847" s="54">
        <f>I847+J847+K847</f>
        <v>145</v>
      </c>
      <c r="I847" s="55">
        <v>13</v>
      </c>
      <c r="J847" s="55">
        <v>27</v>
      </c>
      <c r="K847" s="56">
        <v>105</v>
      </c>
      <c r="L847" s="54">
        <f>M847+N847+O847</f>
        <v>223</v>
      </c>
      <c r="M847" s="55">
        <v>22</v>
      </c>
      <c r="N847" s="55">
        <v>60</v>
      </c>
      <c r="O847" s="55">
        <v>141</v>
      </c>
      <c r="P847" s="55">
        <f>Q847+R847+S847</f>
        <v>227</v>
      </c>
      <c r="Q847" s="55">
        <v>25</v>
      </c>
      <c r="R847" s="55">
        <v>59</v>
      </c>
      <c r="S847" s="55">
        <v>143</v>
      </c>
      <c r="AL847" s="5"/>
      <c r="AN847" s="1"/>
    </row>
    <row r="848" spans="3:40" ht="12.75" customHeight="1" x14ac:dyDescent="0.15">
      <c r="D848" s="459"/>
      <c r="E848" s="403"/>
      <c r="F848" s="403"/>
      <c r="G848" s="460"/>
      <c r="H848" s="58">
        <f t="shared" ref="H848:S848" si="210">ROUND(H847/(H$845+H$847+H$849+H$851+H$853+H$855+H$857+H$859+H$861),3)</f>
        <v>0.24199999999999999</v>
      </c>
      <c r="I848" s="59">
        <f t="shared" si="210"/>
        <v>0.20599999999999999</v>
      </c>
      <c r="J848" s="59">
        <f t="shared" si="210"/>
        <v>0.216</v>
      </c>
      <c r="K848" s="60">
        <f t="shared" si="210"/>
        <v>0.25600000000000001</v>
      </c>
      <c r="L848" s="58">
        <f t="shared" si="210"/>
        <v>0.25</v>
      </c>
      <c r="M848" s="59">
        <f t="shared" si="210"/>
        <v>0.26800000000000002</v>
      </c>
      <c r="N848" s="59">
        <f t="shared" si="210"/>
        <v>0.246</v>
      </c>
      <c r="O848" s="59">
        <f t="shared" si="210"/>
        <v>0.249</v>
      </c>
      <c r="P848" s="59">
        <f t="shared" si="210"/>
        <v>0.24099999999999999</v>
      </c>
      <c r="Q848" s="59">
        <f t="shared" si="210"/>
        <v>0.22900000000000001</v>
      </c>
      <c r="R848" s="59">
        <f t="shared" si="210"/>
        <v>0.219</v>
      </c>
      <c r="S848" s="59">
        <f t="shared" si="210"/>
        <v>0.254</v>
      </c>
      <c r="AL848" s="5"/>
      <c r="AN848" s="1"/>
    </row>
    <row r="849" spans="4:40" ht="12.75" customHeight="1" x14ac:dyDescent="0.15">
      <c r="D849" s="457" t="s">
        <v>221</v>
      </c>
      <c r="E849" s="401"/>
      <c r="F849" s="401"/>
      <c r="G849" s="458"/>
      <c r="H849" s="54">
        <f>I849+J849+K849</f>
        <v>76</v>
      </c>
      <c r="I849" s="55">
        <v>12</v>
      </c>
      <c r="J849" s="55">
        <v>18</v>
      </c>
      <c r="K849" s="56">
        <v>46</v>
      </c>
      <c r="L849" s="54">
        <f>M849+N849+O849</f>
        <v>169</v>
      </c>
      <c r="M849" s="55">
        <v>27</v>
      </c>
      <c r="N849" s="55">
        <v>44</v>
      </c>
      <c r="O849" s="55">
        <v>98</v>
      </c>
      <c r="P849" s="55">
        <f>Q849+R849+S849</f>
        <v>180</v>
      </c>
      <c r="Q849" s="55">
        <v>34</v>
      </c>
      <c r="R849" s="55">
        <v>51</v>
      </c>
      <c r="S849" s="55">
        <v>95</v>
      </c>
      <c r="AL849" s="5"/>
      <c r="AN849" s="1"/>
    </row>
    <row r="850" spans="4:40" ht="12.75" customHeight="1" x14ac:dyDescent="0.15">
      <c r="D850" s="459"/>
      <c r="E850" s="403"/>
      <c r="F850" s="403"/>
      <c r="G850" s="460"/>
      <c r="H850" s="58">
        <f t="shared" ref="H850:O850" si="211">ROUND(H849/(H$845+H$847+H$849+H$851+H$853+H$855+H$857+H$859+H$861),3)</f>
        <v>0.127</v>
      </c>
      <c r="I850" s="59">
        <f t="shared" si="211"/>
        <v>0.19</v>
      </c>
      <c r="J850" s="59">
        <f t="shared" si="211"/>
        <v>0.14399999999999999</v>
      </c>
      <c r="K850" s="60">
        <f t="shared" si="211"/>
        <v>0.112</v>
      </c>
      <c r="L850" s="58">
        <f t="shared" si="211"/>
        <v>0.189</v>
      </c>
      <c r="M850" s="59">
        <f t="shared" si="211"/>
        <v>0.32900000000000001</v>
      </c>
      <c r="N850" s="59">
        <f t="shared" si="211"/>
        <v>0.18</v>
      </c>
      <c r="O850" s="59">
        <f t="shared" si="211"/>
        <v>0.17299999999999999</v>
      </c>
      <c r="P850" s="59">
        <f>ROUND(P849/(P$845+P$847+P$849+P$851+P$853+P$855+P$857+P$859+P$861),3)+0.001</f>
        <v>0.192</v>
      </c>
      <c r="Q850" s="59">
        <f>ROUND(Q849/(Q$845+Q$847+Q$849+Q$851+Q$853+Q$855+Q$857+Q$859+Q$861),3)</f>
        <v>0.312</v>
      </c>
      <c r="R850" s="59">
        <f>ROUND(R849/(R$845+R$847+R$849+R$851+R$853+R$855+R$857+R$859+R$861),3)</f>
        <v>0.19</v>
      </c>
      <c r="S850" s="59">
        <f>ROUND(S849/(S$845+S$847+S$849+S$851+S$853+S$855+S$857+S$859+S$861),3)</f>
        <v>0.16900000000000001</v>
      </c>
      <c r="AL850" s="5"/>
      <c r="AN850" s="1"/>
    </row>
    <row r="851" spans="4:40" ht="12.75" customHeight="1" x14ac:dyDescent="0.15">
      <c r="D851" s="457" t="s">
        <v>222</v>
      </c>
      <c r="E851" s="401"/>
      <c r="F851" s="401"/>
      <c r="G851" s="458"/>
      <c r="H851" s="54">
        <f>I851+J851+K851</f>
        <v>27</v>
      </c>
      <c r="I851" s="55">
        <v>2</v>
      </c>
      <c r="J851" s="55">
        <v>3</v>
      </c>
      <c r="K851" s="56">
        <v>22</v>
      </c>
      <c r="L851" s="54">
        <f>M851+N851+O851</f>
        <v>86</v>
      </c>
      <c r="M851" s="55">
        <v>10</v>
      </c>
      <c r="N851" s="55">
        <v>19</v>
      </c>
      <c r="O851" s="55">
        <v>57</v>
      </c>
      <c r="P851" s="55">
        <f>Q851+R851+S851</f>
        <v>92</v>
      </c>
      <c r="Q851" s="55">
        <v>12</v>
      </c>
      <c r="R851" s="55">
        <v>18</v>
      </c>
      <c r="S851" s="55">
        <v>62</v>
      </c>
      <c r="AL851" s="5"/>
      <c r="AN851" s="1"/>
    </row>
    <row r="852" spans="4:40" ht="12.75" customHeight="1" x14ac:dyDescent="0.15">
      <c r="D852" s="459"/>
      <c r="E852" s="403"/>
      <c r="F852" s="403"/>
      <c r="G852" s="460"/>
      <c r="H852" s="58">
        <f t="shared" ref="H852:S852" si="212">ROUND(H851/(H$845+H$847+H$849+H$851+H$853+H$855+H$857+H$859+H$861),3)</f>
        <v>4.4999999999999998E-2</v>
      </c>
      <c r="I852" s="59">
        <f t="shared" si="212"/>
        <v>3.2000000000000001E-2</v>
      </c>
      <c r="J852" s="59">
        <f t="shared" si="212"/>
        <v>2.4E-2</v>
      </c>
      <c r="K852" s="60">
        <f t="shared" si="212"/>
        <v>5.3999999999999999E-2</v>
      </c>
      <c r="L852" s="58">
        <f t="shared" si="212"/>
        <v>9.6000000000000002E-2</v>
      </c>
      <c r="M852" s="59">
        <f t="shared" si="212"/>
        <v>0.122</v>
      </c>
      <c r="N852" s="59">
        <f t="shared" si="212"/>
        <v>7.8E-2</v>
      </c>
      <c r="O852" s="59">
        <f t="shared" si="212"/>
        <v>0.10100000000000001</v>
      </c>
      <c r="P852" s="59">
        <f t="shared" si="212"/>
        <v>9.8000000000000004E-2</v>
      </c>
      <c r="Q852" s="59">
        <f t="shared" si="212"/>
        <v>0.11</v>
      </c>
      <c r="R852" s="59">
        <f t="shared" si="212"/>
        <v>6.7000000000000004E-2</v>
      </c>
      <c r="S852" s="59">
        <f t="shared" si="212"/>
        <v>0.11</v>
      </c>
      <c r="AL852" s="5"/>
      <c r="AN852" s="1"/>
    </row>
    <row r="853" spans="4:40" ht="12.75" customHeight="1" x14ac:dyDescent="0.15">
      <c r="D853" s="457" t="s">
        <v>223</v>
      </c>
      <c r="E853" s="401"/>
      <c r="F853" s="401"/>
      <c r="G853" s="458"/>
      <c r="H853" s="54">
        <f>I853+J853+K853</f>
        <v>24</v>
      </c>
      <c r="I853" s="55">
        <v>0</v>
      </c>
      <c r="J853" s="55">
        <v>12</v>
      </c>
      <c r="K853" s="56">
        <v>12</v>
      </c>
      <c r="L853" s="54">
        <f>M853+N853+O853</f>
        <v>52</v>
      </c>
      <c r="M853" s="55">
        <v>0</v>
      </c>
      <c r="N853" s="55">
        <v>31</v>
      </c>
      <c r="O853" s="55">
        <v>21</v>
      </c>
      <c r="P853" s="55">
        <f>Q853+R853+S853</f>
        <v>72</v>
      </c>
      <c r="Q853" s="55">
        <v>2</v>
      </c>
      <c r="R853" s="55">
        <v>37</v>
      </c>
      <c r="S853" s="55">
        <v>33</v>
      </c>
      <c r="AL853" s="5"/>
      <c r="AN853" s="1"/>
    </row>
    <row r="854" spans="4:40" ht="12.75" customHeight="1" x14ac:dyDescent="0.15">
      <c r="D854" s="459"/>
      <c r="E854" s="403"/>
      <c r="F854" s="403"/>
      <c r="G854" s="460"/>
      <c r="H854" s="58">
        <f t="shared" ref="H854:S854" si="213">ROUND(H853/(H$845+H$847+H$849+H$851+H$853+H$855+H$857+H$859+H$861),3)</f>
        <v>0.04</v>
      </c>
      <c r="I854" s="59">
        <f t="shared" si="213"/>
        <v>0</v>
      </c>
      <c r="J854" s="59">
        <f t="shared" si="213"/>
        <v>9.6000000000000002E-2</v>
      </c>
      <c r="K854" s="60">
        <f t="shared" si="213"/>
        <v>2.9000000000000001E-2</v>
      </c>
      <c r="L854" s="58">
        <f t="shared" si="213"/>
        <v>5.8000000000000003E-2</v>
      </c>
      <c r="M854" s="59">
        <f t="shared" si="213"/>
        <v>0</v>
      </c>
      <c r="N854" s="59">
        <f t="shared" si="213"/>
        <v>0.127</v>
      </c>
      <c r="O854" s="59">
        <f t="shared" si="213"/>
        <v>3.6999999999999998E-2</v>
      </c>
      <c r="P854" s="59">
        <f t="shared" si="213"/>
        <v>7.6999999999999999E-2</v>
      </c>
      <c r="Q854" s="59">
        <f t="shared" si="213"/>
        <v>1.7999999999999999E-2</v>
      </c>
      <c r="R854" s="59">
        <f t="shared" si="213"/>
        <v>0.13800000000000001</v>
      </c>
      <c r="S854" s="59">
        <f t="shared" si="213"/>
        <v>5.8999999999999997E-2</v>
      </c>
      <c r="AL854" s="5"/>
      <c r="AN854" s="1"/>
    </row>
    <row r="855" spans="4:40" ht="12.75" customHeight="1" x14ac:dyDescent="0.15">
      <c r="D855" s="457" t="s">
        <v>224</v>
      </c>
      <c r="E855" s="401"/>
      <c r="F855" s="401"/>
      <c r="G855" s="458"/>
      <c r="H855" s="54">
        <f>I855+J855+K855</f>
        <v>18</v>
      </c>
      <c r="I855" s="55">
        <v>3</v>
      </c>
      <c r="J855" s="55">
        <v>6</v>
      </c>
      <c r="K855" s="56">
        <v>9</v>
      </c>
      <c r="L855" s="54">
        <f>M855+N855+O855</f>
        <v>35</v>
      </c>
      <c r="M855" s="55">
        <v>1</v>
      </c>
      <c r="N855" s="55">
        <v>16</v>
      </c>
      <c r="O855" s="55">
        <v>18</v>
      </c>
      <c r="P855" s="55">
        <f>Q855+R855+S855</f>
        <v>32</v>
      </c>
      <c r="Q855" s="55">
        <v>4</v>
      </c>
      <c r="R855" s="55">
        <v>17</v>
      </c>
      <c r="S855" s="55">
        <v>11</v>
      </c>
      <c r="AL855" s="5"/>
      <c r="AN855" s="1"/>
    </row>
    <row r="856" spans="4:40" ht="12.75" customHeight="1" x14ac:dyDescent="0.15">
      <c r="D856" s="459"/>
      <c r="E856" s="403"/>
      <c r="F856" s="403"/>
      <c r="G856" s="460"/>
      <c r="H856" s="58">
        <f t="shared" ref="H856:S856" si="214">ROUND(H855/(H$845+H$847+H$849+H$851+H$853+H$855+H$857+H$859+H$861),3)</f>
        <v>0.03</v>
      </c>
      <c r="I856" s="59">
        <f t="shared" si="214"/>
        <v>4.8000000000000001E-2</v>
      </c>
      <c r="J856" s="59">
        <f t="shared" si="214"/>
        <v>4.8000000000000001E-2</v>
      </c>
      <c r="K856" s="60">
        <f t="shared" si="214"/>
        <v>2.1999999999999999E-2</v>
      </c>
      <c r="L856" s="58">
        <f t="shared" si="214"/>
        <v>3.9E-2</v>
      </c>
      <c r="M856" s="59">
        <f t="shared" si="214"/>
        <v>1.2E-2</v>
      </c>
      <c r="N856" s="59">
        <f t="shared" si="214"/>
        <v>6.6000000000000003E-2</v>
      </c>
      <c r="O856" s="59">
        <f t="shared" si="214"/>
        <v>3.2000000000000001E-2</v>
      </c>
      <c r="P856" s="59">
        <f t="shared" si="214"/>
        <v>3.4000000000000002E-2</v>
      </c>
      <c r="Q856" s="59">
        <f t="shared" si="214"/>
        <v>3.6999999999999998E-2</v>
      </c>
      <c r="R856" s="59">
        <f t="shared" si="214"/>
        <v>6.3E-2</v>
      </c>
      <c r="S856" s="59">
        <f t="shared" si="214"/>
        <v>0.02</v>
      </c>
      <c r="AL856" s="5"/>
      <c r="AN856" s="1"/>
    </row>
    <row r="857" spans="4:40" ht="12.75" customHeight="1" x14ac:dyDescent="0.15">
      <c r="D857" s="457" t="s">
        <v>225</v>
      </c>
      <c r="E857" s="401"/>
      <c r="F857" s="401"/>
      <c r="G857" s="458"/>
      <c r="H857" s="54">
        <f>I857+J857+K857</f>
        <v>5</v>
      </c>
      <c r="I857" s="55">
        <v>0</v>
      </c>
      <c r="J857" s="55">
        <v>0</v>
      </c>
      <c r="K857" s="56">
        <v>5</v>
      </c>
      <c r="L857" s="54">
        <f>M857+N857+O857</f>
        <v>25</v>
      </c>
      <c r="M857" s="55">
        <v>3</v>
      </c>
      <c r="N857" s="55">
        <v>2</v>
      </c>
      <c r="O857" s="55">
        <v>20</v>
      </c>
      <c r="P857" s="55">
        <f>Q857+R857+S857</f>
        <v>26</v>
      </c>
      <c r="Q857" s="55">
        <v>1</v>
      </c>
      <c r="R857" s="55">
        <v>6</v>
      </c>
      <c r="S857" s="55">
        <v>19</v>
      </c>
      <c r="AL857" s="5"/>
      <c r="AN857" s="1"/>
    </row>
    <row r="858" spans="4:40" ht="12.75" customHeight="1" x14ac:dyDescent="0.15">
      <c r="D858" s="459"/>
      <c r="E858" s="403"/>
      <c r="F858" s="403"/>
      <c r="G858" s="460"/>
      <c r="H858" s="58">
        <f t="shared" ref="H858:S858" si="215">ROUND(H857/(H$845+H$847+H$849+H$851+H$853+H$855+H$857+H$859+H$861),3)</f>
        <v>8.0000000000000002E-3</v>
      </c>
      <c r="I858" s="59">
        <f t="shared" si="215"/>
        <v>0</v>
      </c>
      <c r="J858" s="59">
        <f t="shared" si="215"/>
        <v>0</v>
      </c>
      <c r="K858" s="60">
        <f t="shared" si="215"/>
        <v>1.2E-2</v>
      </c>
      <c r="L858" s="58">
        <f t="shared" si="215"/>
        <v>2.8000000000000001E-2</v>
      </c>
      <c r="M858" s="59">
        <f t="shared" si="215"/>
        <v>3.6999999999999998E-2</v>
      </c>
      <c r="N858" s="59">
        <f t="shared" si="215"/>
        <v>8.0000000000000002E-3</v>
      </c>
      <c r="O858" s="59">
        <f t="shared" si="215"/>
        <v>3.5000000000000003E-2</v>
      </c>
      <c r="P858" s="59">
        <f t="shared" si="215"/>
        <v>2.8000000000000001E-2</v>
      </c>
      <c r="Q858" s="59">
        <f t="shared" si="215"/>
        <v>8.9999999999999993E-3</v>
      </c>
      <c r="R858" s="59">
        <f t="shared" si="215"/>
        <v>2.1999999999999999E-2</v>
      </c>
      <c r="S858" s="59">
        <f t="shared" si="215"/>
        <v>3.4000000000000002E-2</v>
      </c>
      <c r="AL858" s="5"/>
      <c r="AN858" s="1"/>
    </row>
    <row r="859" spans="4:40" ht="12.75" customHeight="1" x14ac:dyDescent="0.15">
      <c r="D859" s="457" t="s">
        <v>205</v>
      </c>
      <c r="E859" s="401"/>
      <c r="F859" s="401"/>
      <c r="G859" s="458"/>
      <c r="H859" s="54">
        <f>I859+J859+K859</f>
        <v>24</v>
      </c>
      <c r="I859" s="55">
        <v>5</v>
      </c>
      <c r="J859" s="55">
        <v>6</v>
      </c>
      <c r="K859" s="56">
        <v>13</v>
      </c>
      <c r="L859" s="54">
        <f>M859+N859+O859</f>
        <v>16</v>
      </c>
      <c r="M859" s="55">
        <v>1</v>
      </c>
      <c r="N859" s="55">
        <v>1</v>
      </c>
      <c r="O859" s="55">
        <v>14</v>
      </c>
      <c r="P859" s="55">
        <f>Q859+R859+S859</f>
        <v>22</v>
      </c>
      <c r="Q859" s="55">
        <v>3</v>
      </c>
      <c r="R859" s="55">
        <v>7</v>
      </c>
      <c r="S859" s="55">
        <v>12</v>
      </c>
      <c r="AL859" s="5"/>
      <c r="AN859" s="1"/>
    </row>
    <row r="860" spans="4:40" ht="12.75" customHeight="1" x14ac:dyDescent="0.15">
      <c r="D860" s="459"/>
      <c r="E860" s="403"/>
      <c r="F860" s="403"/>
      <c r="G860" s="460"/>
      <c r="H860" s="58">
        <f t="shared" ref="H860:S860" si="216">ROUND(H859/(H$845+H$847+H$849+H$851+H$853+H$855+H$857+H$859+H$861),3)</f>
        <v>0.04</v>
      </c>
      <c r="I860" s="59">
        <f t="shared" si="216"/>
        <v>7.9000000000000001E-2</v>
      </c>
      <c r="J860" s="59">
        <f t="shared" si="216"/>
        <v>4.8000000000000001E-2</v>
      </c>
      <c r="K860" s="60">
        <f t="shared" si="216"/>
        <v>3.2000000000000001E-2</v>
      </c>
      <c r="L860" s="58">
        <f t="shared" si="216"/>
        <v>1.7999999999999999E-2</v>
      </c>
      <c r="M860" s="59">
        <f t="shared" si="216"/>
        <v>1.2E-2</v>
      </c>
      <c r="N860" s="59">
        <f t="shared" si="216"/>
        <v>4.0000000000000001E-3</v>
      </c>
      <c r="O860" s="59">
        <f t="shared" si="216"/>
        <v>2.5000000000000001E-2</v>
      </c>
      <c r="P860" s="59">
        <f t="shared" si="216"/>
        <v>2.3E-2</v>
      </c>
      <c r="Q860" s="59">
        <f t="shared" si="216"/>
        <v>2.8000000000000001E-2</v>
      </c>
      <c r="R860" s="59">
        <f t="shared" si="216"/>
        <v>2.5999999999999999E-2</v>
      </c>
      <c r="S860" s="59">
        <f t="shared" si="216"/>
        <v>2.1000000000000001E-2</v>
      </c>
      <c r="AL860" s="5"/>
      <c r="AN860" s="1"/>
    </row>
    <row r="861" spans="4:40" ht="12.75" customHeight="1" x14ac:dyDescent="0.15">
      <c r="D861" s="457" t="s">
        <v>121</v>
      </c>
      <c r="E861" s="401"/>
      <c r="F861" s="401"/>
      <c r="G861" s="458"/>
      <c r="H861" s="54">
        <f>I861+J861+K861</f>
        <v>10</v>
      </c>
      <c r="I861" s="55">
        <v>5</v>
      </c>
      <c r="J861" s="55">
        <v>0</v>
      </c>
      <c r="K861" s="56">
        <v>5</v>
      </c>
      <c r="L861" s="54">
        <f>M861+N861+O861</f>
        <v>11</v>
      </c>
      <c r="M861" s="55">
        <v>3</v>
      </c>
      <c r="N861" s="55">
        <v>4</v>
      </c>
      <c r="O861" s="55">
        <v>4</v>
      </c>
      <c r="P861" s="55">
        <f>Q861+R861+S861</f>
        <v>17</v>
      </c>
      <c r="Q861" s="55">
        <v>3</v>
      </c>
      <c r="R861" s="55">
        <v>6</v>
      </c>
      <c r="S861" s="55">
        <v>8</v>
      </c>
      <c r="AL861" s="5"/>
      <c r="AN861" s="1"/>
    </row>
    <row r="862" spans="4:40" ht="12.75" customHeight="1" x14ac:dyDescent="0.15">
      <c r="D862" s="459"/>
      <c r="E862" s="403"/>
      <c r="F862" s="403"/>
      <c r="G862" s="460"/>
      <c r="H862" s="58">
        <f t="shared" ref="H862:S862" si="217">ROUND(H861/(H$845+H$847+H$849+H$851+H$853+H$855+H$857+H$859+H$861),3)</f>
        <v>1.7000000000000001E-2</v>
      </c>
      <c r="I862" s="59">
        <f t="shared" si="217"/>
        <v>7.9000000000000001E-2</v>
      </c>
      <c r="J862" s="59">
        <f t="shared" si="217"/>
        <v>0</v>
      </c>
      <c r="K862" s="60">
        <f t="shared" si="217"/>
        <v>1.2E-2</v>
      </c>
      <c r="L862" s="58">
        <f t="shared" si="217"/>
        <v>1.2E-2</v>
      </c>
      <c r="M862" s="59">
        <f t="shared" si="217"/>
        <v>3.6999999999999998E-2</v>
      </c>
      <c r="N862" s="59">
        <f t="shared" si="217"/>
        <v>1.6E-2</v>
      </c>
      <c r="O862" s="59">
        <f t="shared" si="217"/>
        <v>7.0000000000000001E-3</v>
      </c>
      <c r="P862" s="59">
        <f t="shared" si="217"/>
        <v>1.7999999999999999E-2</v>
      </c>
      <c r="Q862" s="59">
        <f t="shared" si="217"/>
        <v>2.8000000000000001E-2</v>
      </c>
      <c r="R862" s="59">
        <f t="shared" si="217"/>
        <v>2.1999999999999999E-2</v>
      </c>
      <c r="S862" s="59">
        <f t="shared" si="217"/>
        <v>1.4E-2</v>
      </c>
      <c r="AL862" s="5"/>
      <c r="AN862" s="1"/>
    </row>
    <row r="863" spans="4:40" ht="12.75" customHeight="1" x14ac:dyDescent="0.15">
      <c r="D863" s="399" t="s">
        <v>53</v>
      </c>
      <c r="E863" s="386"/>
      <c r="F863" s="386"/>
      <c r="G863" s="453"/>
      <c r="H863" s="54">
        <f t="shared" ref="H863:S864" si="218">H845+H847+H849+H851+H853+H855+H857+H859+H861</f>
        <v>598</v>
      </c>
      <c r="I863" s="55">
        <f t="shared" si="218"/>
        <v>63</v>
      </c>
      <c r="J863" s="55">
        <f t="shared" si="218"/>
        <v>125</v>
      </c>
      <c r="K863" s="56">
        <f t="shared" si="218"/>
        <v>410</v>
      </c>
      <c r="L863" s="54">
        <f t="shared" si="218"/>
        <v>893</v>
      </c>
      <c r="M863" s="55">
        <f t="shared" si="218"/>
        <v>82</v>
      </c>
      <c r="N863" s="55">
        <f t="shared" si="218"/>
        <v>244</v>
      </c>
      <c r="O863" s="55">
        <f t="shared" si="218"/>
        <v>567</v>
      </c>
      <c r="P863" s="55">
        <f t="shared" si="218"/>
        <v>940</v>
      </c>
      <c r="Q863" s="55">
        <f t="shared" si="218"/>
        <v>109</v>
      </c>
      <c r="R863" s="55">
        <f t="shared" si="218"/>
        <v>269</v>
      </c>
      <c r="S863" s="55">
        <f t="shared" si="218"/>
        <v>562</v>
      </c>
      <c r="AL863" s="5"/>
      <c r="AN863" s="1"/>
    </row>
    <row r="864" spans="4:40" ht="12.75" customHeight="1" thickBot="1" x14ac:dyDescent="0.2">
      <c r="D864" s="400"/>
      <c r="E864" s="443"/>
      <c r="F864" s="443"/>
      <c r="G864" s="454"/>
      <c r="H864" s="65">
        <f t="shared" si="218"/>
        <v>0.99900000000000011</v>
      </c>
      <c r="I864" s="66">
        <f t="shared" si="218"/>
        <v>0.99899999999999989</v>
      </c>
      <c r="J864" s="66">
        <f t="shared" si="218"/>
        <v>1</v>
      </c>
      <c r="K864" s="67">
        <f t="shared" si="218"/>
        <v>1</v>
      </c>
      <c r="L864" s="68">
        <f t="shared" si="218"/>
        <v>0.99900000000000011</v>
      </c>
      <c r="M864" s="69">
        <f t="shared" si="218"/>
        <v>1</v>
      </c>
      <c r="N864" s="69">
        <f t="shared" si="218"/>
        <v>1</v>
      </c>
      <c r="O864" s="69">
        <f t="shared" si="218"/>
        <v>1.0010000000000001</v>
      </c>
      <c r="P864" s="69">
        <f t="shared" si="218"/>
        <v>1</v>
      </c>
      <c r="Q864" s="69">
        <f t="shared" si="218"/>
        <v>1</v>
      </c>
      <c r="R864" s="69">
        <f t="shared" si="218"/>
        <v>1</v>
      </c>
      <c r="S864" s="69">
        <f t="shared" si="218"/>
        <v>1</v>
      </c>
      <c r="AL864" s="5"/>
      <c r="AN864" s="1"/>
    </row>
    <row r="865" spans="4:23" x14ac:dyDescent="0.15">
      <c r="D865" s="100"/>
      <c r="E865" s="100"/>
      <c r="F865" s="90"/>
      <c r="G865" s="90"/>
      <c r="H865" s="90"/>
      <c r="I865" s="90"/>
      <c r="J865" s="78"/>
      <c r="K865" s="78"/>
      <c r="L865" s="78"/>
      <c r="M865" s="78"/>
      <c r="N865" s="78"/>
      <c r="O865" s="78"/>
      <c r="P865" s="78"/>
      <c r="Q865" s="78"/>
      <c r="R865" s="72"/>
      <c r="S865" s="72"/>
      <c r="V865" s="46"/>
      <c r="W865" s="2"/>
    </row>
    <row r="866" spans="4:23" x14ac:dyDescent="0.15">
      <c r="D866" s="100"/>
      <c r="E866" s="100"/>
      <c r="F866" s="90"/>
      <c r="G866" s="90"/>
      <c r="H866" s="90"/>
      <c r="I866" s="90"/>
      <c r="J866" s="78"/>
      <c r="K866" s="78"/>
      <c r="L866" s="78"/>
      <c r="M866" s="78"/>
      <c r="N866" s="78"/>
      <c r="O866" s="78"/>
      <c r="P866" s="78"/>
      <c r="Q866" s="78"/>
      <c r="R866" s="72"/>
      <c r="S866" s="72"/>
      <c r="V866" s="46"/>
      <c r="W866" s="2"/>
    </row>
    <row r="867" spans="4:23" x14ac:dyDescent="0.15">
      <c r="D867" s="100"/>
      <c r="E867" s="100"/>
      <c r="F867" s="90"/>
      <c r="G867" s="90"/>
      <c r="H867" s="90"/>
      <c r="I867" s="90"/>
      <c r="J867" s="78"/>
      <c r="K867" s="78"/>
      <c r="L867" s="78"/>
      <c r="M867" s="78"/>
      <c r="N867" s="78"/>
      <c r="O867" s="78"/>
      <c r="P867" s="78"/>
      <c r="Q867" s="78"/>
      <c r="R867" s="72"/>
      <c r="S867" s="72"/>
      <c r="V867" s="46"/>
      <c r="W867" s="2"/>
    </row>
    <row r="868" spans="4:23" x14ac:dyDescent="0.15">
      <c r="D868" s="100"/>
      <c r="E868" s="100"/>
      <c r="F868" s="90"/>
      <c r="G868" s="90"/>
      <c r="H868" s="90"/>
      <c r="I868" s="90"/>
      <c r="J868" s="78"/>
      <c r="K868" s="78"/>
      <c r="L868" s="78"/>
      <c r="M868" s="78"/>
      <c r="N868" s="78"/>
      <c r="O868" s="78"/>
      <c r="P868" s="78"/>
      <c r="Q868" s="78"/>
      <c r="R868" s="72"/>
      <c r="S868" s="72"/>
      <c r="T868" s="1" t="s">
        <v>219</v>
      </c>
      <c r="U868" s="4">
        <v>269</v>
      </c>
      <c r="V868" s="46"/>
      <c r="W868" s="2"/>
    </row>
    <row r="869" spans="4:23" x14ac:dyDescent="0.15">
      <c r="D869" s="100"/>
      <c r="E869" s="100"/>
      <c r="F869" s="90"/>
      <c r="G869" s="90"/>
      <c r="H869" s="90"/>
      <c r="I869" s="90"/>
      <c r="J869" s="78"/>
      <c r="K869" s="78"/>
      <c r="L869" s="78"/>
      <c r="M869" s="78"/>
      <c r="N869" s="78"/>
      <c r="O869" s="78"/>
      <c r="P869" s="78"/>
      <c r="Q869" s="78"/>
      <c r="R869" s="72"/>
      <c r="S869" s="72"/>
      <c r="T869" s="141" t="s">
        <v>226</v>
      </c>
      <c r="U869" s="47">
        <v>145</v>
      </c>
      <c r="V869" s="46"/>
      <c r="W869" s="2"/>
    </row>
    <row r="870" spans="4:23" x14ac:dyDescent="0.15">
      <c r="D870" s="100"/>
      <c r="E870" s="100"/>
      <c r="F870" s="90"/>
      <c r="G870" s="90"/>
      <c r="H870" s="90"/>
      <c r="I870" s="90"/>
      <c r="J870" s="78"/>
      <c r="K870" s="78"/>
      <c r="L870" s="78"/>
      <c r="M870" s="78"/>
      <c r="N870" s="78"/>
      <c r="O870" s="78"/>
      <c r="P870" s="78"/>
      <c r="Q870" s="78"/>
      <c r="R870" s="72"/>
      <c r="S870" s="72"/>
      <c r="T870" s="141" t="s">
        <v>227</v>
      </c>
      <c r="U870" s="47">
        <v>76</v>
      </c>
      <c r="V870" s="46"/>
      <c r="W870" s="2"/>
    </row>
    <row r="871" spans="4:23" x14ac:dyDescent="0.15">
      <c r="D871" s="100"/>
      <c r="E871" s="100"/>
      <c r="F871" s="90"/>
      <c r="G871" s="90"/>
      <c r="H871" s="90"/>
      <c r="I871" s="90"/>
      <c r="J871" s="78"/>
      <c r="K871" s="78"/>
      <c r="L871" s="78"/>
      <c r="M871" s="78"/>
      <c r="N871" s="78"/>
      <c r="O871" s="78"/>
      <c r="P871" s="78"/>
      <c r="Q871" s="78"/>
      <c r="R871" s="72"/>
      <c r="S871" s="72"/>
      <c r="T871" s="141" t="s">
        <v>228</v>
      </c>
      <c r="U871" s="47">
        <v>27</v>
      </c>
      <c r="V871" s="46"/>
      <c r="W871" s="2"/>
    </row>
    <row r="872" spans="4:23" x14ac:dyDescent="0.15">
      <c r="D872" s="100"/>
      <c r="E872" s="100"/>
      <c r="F872" s="90"/>
      <c r="G872" s="90"/>
      <c r="H872" s="90"/>
      <c r="I872" s="90"/>
      <c r="J872" s="78"/>
      <c r="K872" s="78"/>
      <c r="L872" s="78"/>
      <c r="M872" s="78"/>
      <c r="N872" s="78"/>
      <c r="O872" s="78"/>
      <c r="P872" s="78"/>
      <c r="Q872" s="78"/>
      <c r="R872" s="72"/>
      <c r="S872" s="72"/>
      <c r="T872" s="46" t="s">
        <v>223</v>
      </c>
      <c r="U872" s="47">
        <v>24</v>
      </c>
      <c r="V872" s="46"/>
      <c r="W872" s="2"/>
    </row>
    <row r="873" spans="4:23" x14ac:dyDescent="0.15">
      <c r="D873" s="100"/>
      <c r="E873" s="100"/>
      <c r="F873" s="90"/>
      <c r="G873" s="90"/>
      <c r="H873" s="90"/>
      <c r="I873" s="90"/>
      <c r="J873" s="78"/>
      <c r="K873" s="78"/>
      <c r="L873" s="78"/>
      <c r="M873" s="78"/>
      <c r="N873" s="78"/>
      <c r="O873" s="78"/>
      <c r="P873" s="78"/>
      <c r="Q873" s="78"/>
      <c r="R873" s="72"/>
      <c r="S873" s="72"/>
      <c r="T873" s="46" t="s">
        <v>224</v>
      </c>
      <c r="U873" s="47">
        <v>18</v>
      </c>
      <c r="V873" s="46"/>
      <c r="W873" s="2"/>
    </row>
    <row r="874" spans="4:23" x14ac:dyDescent="0.15">
      <c r="D874" s="100"/>
      <c r="E874" s="100"/>
      <c r="F874" s="90"/>
      <c r="G874" s="90"/>
      <c r="H874" s="90"/>
      <c r="I874" s="90"/>
      <c r="J874" s="78"/>
      <c r="K874" s="78"/>
      <c r="L874" s="78"/>
      <c r="M874" s="78"/>
      <c r="N874" s="78"/>
      <c r="O874" s="78"/>
      <c r="P874" s="78"/>
      <c r="Q874" s="78"/>
      <c r="R874" s="72"/>
      <c r="S874" s="72"/>
      <c r="T874" s="46" t="s">
        <v>225</v>
      </c>
      <c r="U874" s="47">
        <v>5</v>
      </c>
      <c r="V874" s="46"/>
      <c r="W874" s="2"/>
    </row>
    <row r="875" spans="4:23" x14ac:dyDescent="0.15">
      <c r="D875" s="100"/>
      <c r="E875" s="100"/>
      <c r="F875" s="90"/>
      <c r="G875" s="90"/>
      <c r="H875" s="90"/>
      <c r="I875" s="90"/>
      <c r="J875" s="78"/>
      <c r="K875" s="78"/>
      <c r="L875" s="78"/>
      <c r="M875" s="78"/>
      <c r="N875" s="78"/>
      <c r="O875" s="78"/>
      <c r="P875" s="78"/>
      <c r="Q875" s="78"/>
      <c r="R875" s="72"/>
      <c r="S875" s="72"/>
      <c r="T875" s="46" t="s">
        <v>205</v>
      </c>
      <c r="U875" s="47">
        <v>24</v>
      </c>
      <c r="V875" s="46"/>
      <c r="W875" s="2"/>
    </row>
    <row r="876" spans="4:23" x14ac:dyDescent="0.15">
      <c r="D876" s="100"/>
      <c r="E876" s="100"/>
      <c r="F876" s="90"/>
      <c r="G876" s="90"/>
      <c r="H876" s="90"/>
      <c r="I876" s="90"/>
      <c r="J876" s="78"/>
      <c r="K876" s="78"/>
      <c r="L876" s="78"/>
      <c r="M876" s="78"/>
      <c r="N876" s="78"/>
      <c r="O876" s="78"/>
      <c r="P876" s="78"/>
      <c r="Q876" s="78"/>
      <c r="R876" s="72"/>
      <c r="S876" s="72"/>
      <c r="T876" s="46" t="s">
        <v>121</v>
      </c>
      <c r="U876" s="47">
        <v>10</v>
      </c>
      <c r="V876" s="46"/>
      <c r="W876" s="2"/>
    </row>
    <row r="877" spans="4:23" x14ac:dyDescent="0.15">
      <c r="D877" s="100"/>
      <c r="E877" s="100"/>
      <c r="F877" s="90"/>
      <c r="G877" s="90"/>
      <c r="H877" s="90"/>
      <c r="I877" s="90"/>
      <c r="J877" s="78"/>
      <c r="K877" s="78"/>
      <c r="L877" s="78"/>
      <c r="M877" s="78"/>
      <c r="N877" s="78"/>
      <c r="O877" s="78"/>
      <c r="P877" s="78"/>
      <c r="Q877" s="78"/>
      <c r="R877" s="72"/>
      <c r="S877" s="72"/>
      <c r="T877" s="46"/>
      <c r="U877" s="47"/>
      <c r="V877" s="46"/>
      <c r="W877" s="2"/>
    </row>
    <row r="878" spans="4:23" x14ac:dyDescent="0.15">
      <c r="D878" s="100"/>
      <c r="E878" s="100"/>
      <c r="F878" s="90"/>
      <c r="G878" s="90"/>
      <c r="H878" s="90"/>
      <c r="I878" s="90"/>
      <c r="J878" s="78"/>
      <c r="K878" s="78"/>
      <c r="L878" s="78"/>
      <c r="M878" s="78"/>
      <c r="N878" s="78"/>
      <c r="O878" s="78"/>
      <c r="P878" s="78"/>
      <c r="Q878" s="78"/>
      <c r="R878" s="72"/>
      <c r="S878" s="72"/>
      <c r="T878" s="46"/>
      <c r="U878" s="47"/>
      <c r="V878" s="46"/>
      <c r="W878" s="2"/>
    </row>
    <row r="879" spans="4:23" x14ac:dyDescent="0.15">
      <c r="D879" s="100"/>
      <c r="E879" s="100"/>
      <c r="F879" s="90"/>
      <c r="G879" s="90"/>
      <c r="H879" s="90"/>
      <c r="I879" s="90"/>
      <c r="J879" s="78"/>
      <c r="K879" s="78"/>
      <c r="L879" s="78"/>
      <c r="M879" s="78"/>
      <c r="N879" s="78"/>
      <c r="O879" s="78"/>
      <c r="P879" s="78"/>
      <c r="Q879" s="78"/>
      <c r="R879" s="72"/>
      <c r="S879" s="72"/>
      <c r="T879" s="46"/>
      <c r="U879" s="47"/>
      <c r="V879" s="46"/>
      <c r="W879" s="2"/>
    </row>
    <row r="880" spans="4:23" x14ac:dyDescent="0.15">
      <c r="D880" s="100"/>
      <c r="E880" s="100"/>
      <c r="F880" s="90"/>
      <c r="G880" s="90"/>
      <c r="H880" s="90"/>
      <c r="I880" s="90"/>
      <c r="J880" s="78"/>
      <c r="K880" s="78"/>
      <c r="L880" s="78"/>
      <c r="M880" s="78"/>
      <c r="N880" s="78"/>
      <c r="O880" s="78"/>
      <c r="P880" s="78"/>
      <c r="Q880" s="78"/>
      <c r="R880" s="72"/>
      <c r="S880" s="72"/>
      <c r="T880" s="46"/>
      <c r="U880" s="47"/>
      <c r="V880" s="46"/>
      <c r="W880" s="2"/>
    </row>
    <row r="881" spans="3:40" x14ac:dyDescent="0.15">
      <c r="D881" s="100"/>
      <c r="E881" s="100"/>
      <c r="F881" s="90"/>
      <c r="G881" s="90"/>
      <c r="H881" s="90"/>
      <c r="I881" s="90"/>
      <c r="J881" s="78"/>
      <c r="K881" s="78"/>
      <c r="L881" s="78"/>
      <c r="M881" s="78"/>
      <c r="N881" s="78"/>
      <c r="O881" s="78"/>
      <c r="P881" s="78"/>
      <c r="Q881" s="78"/>
      <c r="R881" s="72"/>
      <c r="S881" s="72"/>
      <c r="T881" s="46"/>
      <c r="U881" s="47"/>
      <c r="V881" s="46"/>
      <c r="W881" s="2"/>
    </row>
    <row r="882" spans="3:40" x14ac:dyDescent="0.15">
      <c r="D882" s="100"/>
      <c r="E882" s="100"/>
      <c r="F882" s="90"/>
      <c r="G882" s="90"/>
      <c r="H882" s="90"/>
      <c r="I882" s="90"/>
      <c r="J882" s="78"/>
      <c r="K882" s="78"/>
      <c r="L882" s="78"/>
      <c r="M882" s="78"/>
      <c r="N882" s="78"/>
      <c r="O882" s="78"/>
      <c r="P882" s="78"/>
      <c r="Q882" s="78"/>
      <c r="R882" s="72"/>
      <c r="S882" s="72"/>
      <c r="T882" s="46"/>
      <c r="U882" s="47"/>
      <c r="V882" s="46"/>
      <c r="W882" s="2"/>
    </row>
    <row r="883" spans="3:40" x14ac:dyDescent="0.15">
      <c r="D883" s="100"/>
      <c r="E883" s="100"/>
      <c r="F883" s="90"/>
      <c r="G883" s="90"/>
      <c r="H883" s="90"/>
      <c r="I883" s="90"/>
      <c r="J883" s="78"/>
      <c r="K883" s="78"/>
      <c r="L883" s="78"/>
      <c r="M883" s="78"/>
      <c r="N883" s="78"/>
      <c r="O883" s="78"/>
      <c r="P883" s="78"/>
      <c r="Q883" s="78"/>
      <c r="R883" s="72"/>
      <c r="S883" s="72"/>
      <c r="T883" s="46"/>
      <c r="U883" s="47"/>
      <c r="V883" s="46"/>
      <c r="W883" s="2"/>
    </row>
    <row r="884" spans="3:40" x14ac:dyDescent="0.15">
      <c r="D884" s="100"/>
      <c r="E884" s="100"/>
      <c r="F884" s="90"/>
      <c r="G884" s="90"/>
      <c r="H884" s="90"/>
      <c r="I884" s="90"/>
      <c r="J884" s="78"/>
      <c r="K884" s="78"/>
      <c r="L884" s="78"/>
      <c r="M884" s="78"/>
      <c r="N884" s="78"/>
      <c r="O884" s="78"/>
      <c r="P884" s="78"/>
      <c r="Q884" s="78"/>
      <c r="R884" s="72"/>
      <c r="S884" s="72"/>
      <c r="T884" s="46"/>
      <c r="U884" s="47"/>
      <c r="V884" s="46"/>
      <c r="W884" s="2"/>
    </row>
    <row r="885" spans="3:40" x14ac:dyDescent="0.15">
      <c r="D885" s="100"/>
      <c r="E885" s="100"/>
      <c r="F885" s="90"/>
      <c r="G885" s="90"/>
      <c r="H885" s="90"/>
      <c r="I885" s="90"/>
      <c r="J885" s="78"/>
      <c r="K885" s="78"/>
      <c r="L885" s="78"/>
      <c r="M885" s="78"/>
      <c r="N885" s="78"/>
      <c r="O885" s="78"/>
      <c r="P885" s="78"/>
      <c r="Q885" s="78"/>
      <c r="R885" s="72"/>
      <c r="S885" s="72"/>
      <c r="T885" s="46"/>
      <c r="U885" s="47"/>
      <c r="V885" s="46"/>
      <c r="W885" s="2"/>
    </row>
    <row r="886" spans="3:40" x14ac:dyDescent="0.15">
      <c r="D886" s="100"/>
      <c r="E886" s="100"/>
      <c r="F886" s="90"/>
      <c r="G886" s="90"/>
      <c r="H886" s="90"/>
      <c r="I886" s="90"/>
      <c r="J886" s="78"/>
      <c r="K886" s="78"/>
      <c r="L886" s="78"/>
      <c r="M886" s="78"/>
      <c r="N886" s="78"/>
      <c r="O886" s="78"/>
      <c r="P886" s="78"/>
      <c r="Q886" s="78"/>
      <c r="R886" s="72"/>
      <c r="S886" s="72"/>
      <c r="T886" s="46"/>
      <c r="U886" s="47"/>
      <c r="V886" s="46"/>
      <c r="W886" s="2"/>
    </row>
    <row r="887" spans="3:40" x14ac:dyDescent="0.15">
      <c r="D887" s="100"/>
      <c r="E887" s="100"/>
      <c r="F887" s="90"/>
      <c r="G887" s="90"/>
      <c r="H887" s="90"/>
      <c r="I887" s="90"/>
      <c r="J887" s="78"/>
      <c r="K887" s="78"/>
      <c r="L887" s="78"/>
      <c r="M887" s="78"/>
      <c r="N887" s="78"/>
      <c r="O887" s="78"/>
      <c r="P887" s="78"/>
      <c r="Q887" s="78"/>
      <c r="R887" s="72"/>
      <c r="S887" s="72"/>
      <c r="T887" s="46"/>
      <c r="U887" s="47"/>
      <c r="V887" s="46"/>
      <c r="W887" s="2"/>
    </row>
    <row r="888" spans="3:40" x14ac:dyDescent="0.15">
      <c r="C888" s="2" t="s">
        <v>229</v>
      </c>
      <c r="D888" s="100"/>
      <c r="E888" s="100"/>
      <c r="F888" s="90"/>
      <c r="G888" s="90"/>
      <c r="H888" s="90"/>
      <c r="I888" s="90"/>
      <c r="J888" s="78"/>
      <c r="K888" s="78"/>
      <c r="L888" s="78"/>
      <c r="M888" s="78"/>
      <c r="N888" s="78"/>
      <c r="O888" s="78"/>
      <c r="P888" s="78"/>
      <c r="Q888" s="78"/>
      <c r="R888" s="72"/>
      <c r="S888" s="72"/>
      <c r="T888" s="46"/>
      <c r="U888" s="47"/>
      <c r="V888" s="46"/>
      <c r="W888" s="2"/>
    </row>
    <row r="889" spans="3:40" s="2" customFormat="1" x14ac:dyDescent="0.15">
      <c r="D889" s="48" t="s">
        <v>230</v>
      </c>
      <c r="E889" s="100"/>
      <c r="F889" s="90"/>
      <c r="G889" s="90"/>
      <c r="H889" s="90"/>
      <c r="I889" s="90"/>
      <c r="J889" s="78"/>
      <c r="K889" s="78"/>
      <c r="L889" s="78"/>
      <c r="M889" s="78"/>
      <c r="N889" s="78"/>
      <c r="O889" s="78"/>
      <c r="P889" s="78"/>
      <c r="Q889" s="78"/>
      <c r="R889" s="72"/>
      <c r="S889" s="72"/>
      <c r="T889" s="46"/>
      <c r="U889" s="47"/>
      <c r="V889" s="46"/>
      <c r="AN889" s="146"/>
    </row>
    <row r="890" spans="3:40" s="2" customFormat="1" x14ac:dyDescent="0.15">
      <c r="D890" s="48" t="s">
        <v>231</v>
      </c>
      <c r="E890" s="100"/>
      <c r="F890" s="90"/>
      <c r="G890" s="90"/>
      <c r="H890" s="90"/>
      <c r="I890" s="90"/>
      <c r="J890" s="78"/>
      <c r="K890" s="78"/>
      <c r="L890" s="78"/>
      <c r="M890" s="78"/>
      <c r="N890" s="78"/>
      <c r="O890" s="78"/>
      <c r="P890" s="78"/>
      <c r="Q890" s="78"/>
      <c r="R890" s="72"/>
      <c r="S890" s="72"/>
      <c r="T890" s="46"/>
      <c r="U890" s="47"/>
      <c r="V890" s="46"/>
      <c r="AN890" s="146"/>
    </row>
    <row r="891" spans="3:40" s="2" customFormat="1" x14ac:dyDescent="0.15">
      <c r="D891" s="48" t="s">
        <v>232</v>
      </c>
      <c r="E891" s="100"/>
      <c r="F891" s="90"/>
      <c r="G891" s="90"/>
      <c r="H891" s="90"/>
      <c r="I891" s="90"/>
      <c r="J891" s="78"/>
      <c r="K891" s="78"/>
      <c r="L891" s="78"/>
      <c r="M891" s="78"/>
      <c r="N891" s="78"/>
      <c r="O891" s="78"/>
      <c r="P891" s="78"/>
      <c r="Q891" s="78"/>
      <c r="R891" s="72"/>
      <c r="S891" s="72"/>
      <c r="T891" s="46"/>
      <c r="U891" s="47"/>
      <c r="V891" s="46"/>
      <c r="AN891" s="146"/>
    </row>
    <row r="892" spans="3:40" s="2" customFormat="1" x14ac:dyDescent="0.15">
      <c r="D892" s="48" t="s">
        <v>233</v>
      </c>
      <c r="E892" s="100"/>
      <c r="F892" s="90"/>
      <c r="G892" s="90"/>
      <c r="H892" s="90"/>
      <c r="I892" s="90"/>
      <c r="J892" s="78"/>
      <c r="K892" s="78"/>
      <c r="L892" s="78"/>
      <c r="M892" s="78"/>
      <c r="N892" s="78"/>
      <c r="O892" s="78"/>
      <c r="P892" s="78"/>
      <c r="Q892" s="78"/>
      <c r="R892" s="72"/>
      <c r="S892" s="72"/>
      <c r="U892" s="47"/>
      <c r="V892" s="46"/>
      <c r="AN892" s="146"/>
    </row>
    <row r="893" spans="3:40" s="2" customFormat="1" x14ac:dyDescent="0.15">
      <c r="D893" s="48" t="s">
        <v>234</v>
      </c>
      <c r="E893" s="100"/>
      <c r="F893" s="90"/>
      <c r="G893" s="90"/>
      <c r="H893" s="90"/>
      <c r="I893" s="90"/>
      <c r="J893" s="78"/>
      <c r="K893" s="78"/>
      <c r="L893" s="78"/>
      <c r="M893" s="78"/>
      <c r="N893" s="78"/>
      <c r="O893" s="78"/>
      <c r="P893" s="78"/>
      <c r="Q893" s="78"/>
      <c r="R893" s="72"/>
      <c r="S893" s="72"/>
      <c r="U893" s="47"/>
      <c r="V893" s="46"/>
      <c r="AN893" s="146"/>
    </row>
    <row r="894" spans="3:40" x14ac:dyDescent="0.15">
      <c r="D894" s="147" t="s">
        <v>235</v>
      </c>
      <c r="E894" s="100"/>
      <c r="F894" s="90"/>
      <c r="G894" s="90"/>
      <c r="H894" s="90"/>
      <c r="I894" s="90"/>
      <c r="J894" s="78"/>
      <c r="K894" s="78"/>
      <c r="L894" s="78"/>
      <c r="M894" s="78"/>
      <c r="N894" s="78"/>
      <c r="O894" s="78"/>
      <c r="P894" s="78"/>
      <c r="Q894" s="78"/>
      <c r="R894" s="72"/>
      <c r="S894" s="72"/>
      <c r="U894" s="47"/>
      <c r="V894" s="46"/>
      <c r="W894" s="2"/>
    </row>
    <row r="895" spans="3:40" x14ac:dyDescent="0.15">
      <c r="D895" s="100"/>
      <c r="E895" s="100"/>
      <c r="F895" s="90"/>
      <c r="G895" s="90"/>
      <c r="H895" s="90"/>
      <c r="I895" s="90"/>
      <c r="J895" s="78"/>
      <c r="K895" s="78"/>
      <c r="L895" s="78"/>
      <c r="M895" s="78"/>
      <c r="N895" s="78"/>
      <c r="O895" s="78"/>
      <c r="P895" s="78"/>
      <c r="Q895" s="78"/>
      <c r="R895" s="72"/>
      <c r="S895" s="72"/>
      <c r="U895" s="47"/>
      <c r="V895" s="46"/>
      <c r="W895" s="2"/>
    </row>
    <row r="896" spans="3:40" x14ac:dyDescent="0.15">
      <c r="D896" s="100"/>
      <c r="E896" s="100"/>
      <c r="F896" s="90"/>
      <c r="G896" s="90"/>
      <c r="H896" s="90"/>
      <c r="I896" s="90"/>
      <c r="J896" s="78"/>
      <c r="K896" s="78"/>
      <c r="L896" s="78"/>
      <c r="M896" s="78"/>
      <c r="N896" s="78"/>
      <c r="O896" s="78"/>
      <c r="P896" s="78"/>
      <c r="Q896" s="78"/>
      <c r="R896" s="72"/>
      <c r="S896" s="72"/>
      <c r="U896" s="47"/>
      <c r="V896" s="46"/>
      <c r="W896" s="2"/>
    </row>
    <row r="897" spans="2:40" ht="14.25" thickBot="1" x14ac:dyDescent="0.2">
      <c r="B897" s="10" t="s">
        <v>236</v>
      </c>
      <c r="G897" s="11"/>
      <c r="K897" s="52"/>
      <c r="O897" s="52"/>
      <c r="T897" s="105"/>
      <c r="U897" s="47"/>
    </row>
    <row r="898" spans="2:40" x14ac:dyDescent="0.15">
      <c r="D898" s="91"/>
      <c r="E898" s="92"/>
      <c r="F898" s="92"/>
      <c r="G898" s="113"/>
      <c r="H898" s="444" t="s">
        <v>26</v>
      </c>
      <c r="I898" s="455"/>
      <c r="J898" s="455"/>
      <c r="K898" s="456"/>
      <c r="L898" s="467" t="s">
        <v>27</v>
      </c>
      <c r="M898" s="451"/>
      <c r="N898" s="451"/>
      <c r="O898" s="452"/>
      <c r="P898" s="399" t="s">
        <v>28</v>
      </c>
      <c r="Q898" s="386"/>
      <c r="R898" s="386"/>
      <c r="S898" s="387"/>
      <c r="T898" s="48"/>
      <c r="U898" s="47"/>
      <c r="AL898" s="5"/>
      <c r="AN898" s="1"/>
    </row>
    <row r="899" spans="2:40" x14ac:dyDescent="0.15">
      <c r="D899" s="93"/>
      <c r="E899" s="94"/>
      <c r="F899" s="94"/>
      <c r="G899" s="136"/>
      <c r="H899" s="371"/>
      <c r="I899" s="364" t="s">
        <v>29</v>
      </c>
      <c r="J899" s="364" t="s">
        <v>30</v>
      </c>
      <c r="K899" s="374" t="s">
        <v>31</v>
      </c>
      <c r="L899" s="14"/>
      <c r="M899" s="15" t="s">
        <v>29</v>
      </c>
      <c r="N899" s="15" t="s">
        <v>30</v>
      </c>
      <c r="O899" s="375" t="s">
        <v>31</v>
      </c>
      <c r="P899" s="372"/>
      <c r="Q899" s="364" t="s">
        <v>29</v>
      </c>
      <c r="R899" s="364" t="s">
        <v>30</v>
      </c>
      <c r="S899" s="375" t="s">
        <v>31</v>
      </c>
      <c r="T899" s="101"/>
      <c r="U899" s="47"/>
      <c r="AL899" s="5"/>
      <c r="AN899" s="1"/>
    </row>
    <row r="900" spans="2:40" ht="13.5" customHeight="1" x14ac:dyDescent="0.15">
      <c r="D900" s="457" t="s">
        <v>237</v>
      </c>
      <c r="E900" s="401"/>
      <c r="F900" s="401"/>
      <c r="G900" s="458"/>
      <c r="H900" s="54">
        <f>I900+J900+K900</f>
        <v>213</v>
      </c>
      <c r="I900" s="55">
        <v>21</v>
      </c>
      <c r="J900" s="55">
        <v>40</v>
      </c>
      <c r="K900" s="56">
        <v>152</v>
      </c>
      <c r="L900" s="54">
        <f>M900+N900+O900</f>
        <v>227</v>
      </c>
      <c r="M900" s="55">
        <v>15</v>
      </c>
      <c r="N900" s="55">
        <v>65</v>
      </c>
      <c r="O900" s="55">
        <v>147</v>
      </c>
      <c r="P900" s="55">
        <f>Q900+R900+S900</f>
        <v>236</v>
      </c>
      <c r="Q900" s="55">
        <v>11</v>
      </c>
      <c r="R900" s="55">
        <v>75</v>
      </c>
      <c r="S900" s="55">
        <v>150</v>
      </c>
      <c r="T900" s="102"/>
      <c r="U900" s="47"/>
      <c r="AL900" s="5"/>
      <c r="AN900" s="1"/>
    </row>
    <row r="901" spans="2:40" x14ac:dyDescent="0.15">
      <c r="D901" s="459"/>
      <c r="E901" s="403"/>
      <c r="F901" s="403"/>
      <c r="G901" s="460"/>
      <c r="H901" s="58">
        <f t="shared" ref="H901:S901" si="219">ROUND(H900/(H$900+H$902+H$904+H$906+H$908+H$910+H$912+H$914),3)</f>
        <v>0.35599999999999998</v>
      </c>
      <c r="I901" s="59">
        <f t="shared" si="219"/>
        <v>0.32800000000000001</v>
      </c>
      <c r="J901" s="59">
        <f t="shared" si="219"/>
        <v>0.32500000000000001</v>
      </c>
      <c r="K901" s="60">
        <f t="shared" si="219"/>
        <v>0.37</v>
      </c>
      <c r="L901" s="58">
        <f t="shared" si="219"/>
        <v>0.27900000000000003</v>
      </c>
      <c r="M901" s="59">
        <f t="shared" si="219"/>
        <v>0.185</v>
      </c>
      <c r="N901" s="59">
        <f t="shared" si="219"/>
        <v>0.307</v>
      </c>
      <c r="O901" s="59">
        <f t="shared" si="219"/>
        <v>0.28299999999999997</v>
      </c>
      <c r="P901" s="59">
        <f t="shared" si="219"/>
        <v>0.27400000000000002</v>
      </c>
      <c r="Q901" s="59">
        <f t="shared" si="219"/>
        <v>0.12</v>
      </c>
      <c r="R901" s="59">
        <f t="shared" si="219"/>
        <v>0.31</v>
      </c>
      <c r="S901" s="59">
        <f t="shared" si="219"/>
        <v>0.28399999999999997</v>
      </c>
      <c r="T901" s="78"/>
      <c r="AL901" s="5"/>
      <c r="AN901" s="1"/>
    </row>
    <row r="902" spans="2:40" ht="13.5" customHeight="1" x14ac:dyDescent="0.15">
      <c r="D902" s="461" t="s">
        <v>238</v>
      </c>
      <c r="E902" s="462"/>
      <c r="F902" s="462"/>
      <c r="G902" s="463"/>
      <c r="H902" s="54">
        <f>I902+J902+K902</f>
        <v>126</v>
      </c>
      <c r="I902" s="55">
        <v>24</v>
      </c>
      <c r="J902" s="55">
        <v>22</v>
      </c>
      <c r="K902" s="56">
        <v>80</v>
      </c>
      <c r="L902" s="54">
        <f>M902+N902+O902</f>
        <v>143</v>
      </c>
      <c r="M902" s="55">
        <v>24</v>
      </c>
      <c r="N902" s="55">
        <v>30</v>
      </c>
      <c r="O902" s="55">
        <v>89</v>
      </c>
      <c r="P902" s="55">
        <f>Q902+R902+S902</f>
        <v>155</v>
      </c>
      <c r="Q902" s="55">
        <v>28</v>
      </c>
      <c r="R902" s="55">
        <v>26</v>
      </c>
      <c r="S902" s="55">
        <v>101</v>
      </c>
      <c r="T902" s="102"/>
      <c r="AL902" s="5"/>
      <c r="AN902" s="1"/>
    </row>
    <row r="903" spans="2:40" x14ac:dyDescent="0.15">
      <c r="D903" s="464"/>
      <c r="E903" s="465"/>
      <c r="F903" s="465"/>
      <c r="G903" s="466"/>
      <c r="H903" s="58">
        <f t="shared" ref="H903:S903" si="220">ROUND(H902/(H$900+H$902+H$904+H$906+H$908+H$910+H$912+H$914),3)</f>
        <v>0.21099999999999999</v>
      </c>
      <c r="I903" s="59">
        <f t="shared" si="220"/>
        <v>0.375</v>
      </c>
      <c r="J903" s="59">
        <f t="shared" si="220"/>
        <v>0.17899999999999999</v>
      </c>
      <c r="K903" s="60">
        <f t="shared" si="220"/>
        <v>0.19500000000000001</v>
      </c>
      <c r="L903" s="58">
        <f t="shared" si="220"/>
        <v>0.17599999999999999</v>
      </c>
      <c r="M903" s="59">
        <f t="shared" si="220"/>
        <v>0.29599999999999999</v>
      </c>
      <c r="N903" s="59">
        <f t="shared" si="220"/>
        <v>0.14199999999999999</v>
      </c>
      <c r="O903" s="59">
        <f t="shared" si="220"/>
        <v>0.17100000000000001</v>
      </c>
      <c r="P903" s="59">
        <f t="shared" si="220"/>
        <v>0.18</v>
      </c>
      <c r="Q903" s="59">
        <f t="shared" si="220"/>
        <v>0.30399999999999999</v>
      </c>
      <c r="R903" s="59">
        <f t="shared" si="220"/>
        <v>0.107</v>
      </c>
      <c r="S903" s="59">
        <f t="shared" si="220"/>
        <v>0.191</v>
      </c>
      <c r="T903" s="78"/>
      <c r="AL903" s="5"/>
      <c r="AN903" s="1"/>
    </row>
    <row r="904" spans="2:40" ht="13.5" customHeight="1" x14ac:dyDescent="0.15">
      <c r="D904" s="461" t="s">
        <v>239</v>
      </c>
      <c r="E904" s="401"/>
      <c r="F904" s="401"/>
      <c r="G904" s="458"/>
      <c r="H904" s="54">
        <f>I904+J904+K904</f>
        <v>96</v>
      </c>
      <c r="I904" s="55">
        <v>4</v>
      </c>
      <c r="J904" s="55">
        <v>16</v>
      </c>
      <c r="K904" s="56">
        <v>76</v>
      </c>
      <c r="L904" s="54">
        <f>M904+N904+O904</f>
        <v>146</v>
      </c>
      <c r="M904" s="55">
        <v>14</v>
      </c>
      <c r="N904" s="55">
        <v>24</v>
      </c>
      <c r="O904" s="55">
        <v>108</v>
      </c>
      <c r="P904" s="55">
        <f>Q904+R904+S904</f>
        <v>130</v>
      </c>
      <c r="Q904" s="55">
        <v>14</v>
      </c>
      <c r="R904" s="55">
        <v>27</v>
      </c>
      <c r="S904" s="55">
        <v>89</v>
      </c>
      <c r="T904" s="102"/>
      <c r="AL904" s="5"/>
      <c r="AN904" s="1"/>
    </row>
    <row r="905" spans="2:40" x14ac:dyDescent="0.15">
      <c r="D905" s="459"/>
      <c r="E905" s="403"/>
      <c r="F905" s="403"/>
      <c r="G905" s="460"/>
      <c r="H905" s="58">
        <f t="shared" ref="H905:Q905" si="221">ROUND(H904/(H$900+H$902+H$904+H$906+H$908+H$910+H$912+H$914),3)</f>
        <v>0.161</v>
      </c>
      <c r="I905" s="59">
        <f t="shared" si="221"/>
        <v>6.3E-2</v>
      </c>
      <c r="J905" s="59">
        <f t="shared" si="221"/>
        <v>0.13</v>
      </c>
      <c r="K905" s="60">
        <f t="shared" si="221"/>
        <v>0.185</v>
      </c>
      <c r="L905" s="58">
        <f t="shared" si="221"/>
        <v>0.18</v>
      </c>
      <c r="M905" s="59">
        <f t="shared" si="221"/>
        <v>0.17299999999999999</v>
      </c>
      <c r="N905" s="59">
        <f t="shared" si="221"/>
        <v>0.113</v>
      </c>
      <c r="O905" s="59">
        <f t="shared" si="221"/>
        <v>0.20799999999999999</v>
      </c>
      <c r="P905" s="59">
        <f t="shared" si="221"/>
        <v>0.151</v>
      </c>
      <c r="Q905" s="59">
        <f t="shared" si="221"/>
        <v>0.152</v>
      </c>
      <c r="R905" s="59">
        <f>ROUND(R904/(R$900+R$902+R$904+R$906+R$908+R$910+R$912+R$914),3)-0.001</f>
        <v>0.111</v>
      </c>
      <c r="S905" s="59">
        <f>ROUND(S904/(S$900+S$902+S$904+S$906+S$908+S$910+S$912+S$914),3)</f>
        <v>0.16900000000000001</v>
      </c>
      <c r="T905" s="78"/>
      <c r="AL905" s="5"/>
      <c r="AN905" s="1"/>
    </row>
    <row r="906" spans="2:40" ht="13.5" customHeight="1" x14ac:dyDescent="0.15">
      <c r="D906" s="457" t="s">
        <v>7</v>
      </c>
      <c r="E906" s="401"/>
      <c r="F906" s="401"/>
      <c r="G906" s="458"/>
      <c r="H906" s="54">
        <f>I906+J906+K906</f>
        <v>55</v>
      </c>
      <c r="I906" s="55">
        <v>3</v>
      </c>
      <c r="J906" s="55">
        <v>13</v>
      </c>
      <c r="K906" s="56">
        <v>39</v>
      </c>
      <c r="L906" s="54">
        <f>M906+N906+O906</f>
        <v>103</v>
      </c>
      <c r="M906" s="55">
        <v>10</v>
      </c>
      <c r="N906" s="55">
        <v>27</v>
      </c>
      <c r="O906" s="55">
        <v>66</v>
      </c>
      <c r="P906" s="55">
        <f>Q906+R906+S906</f>
        <v>109</v>
      </c>
      <c r="Q906" s="55">
        <v>10</v>
      </c>
      <c r="R906" s="55">
        <v>33</v>
      </c>
      <c r="S906" s="55">
        <v>66</v>
      </c>
      <c r="T906" s="102"/>
      <c r="AL906" s="5"/>
      <c r="AN906" s="1"/>
    </row>
    <row r="907" spans="2:40" x14ac:dyDescent="0.15">
      <c r="D907" s="459"/>
      <c r="E907" s="403"/>
      <c r="F907" s="403"/>
      <c r="G907" s="460"/>
      <c r="H907" s="58">
        <f t="shared" ref="H907:S907" si="222">ROUND(H906/(H$900+H$902+H$904+H$906+H$908+H$910+H$912+H$914),3)</f>
        <v>9.1999999999999998E-2</v>
      </c>
      <c r="I907" s="59">
        <f t="shared" si="222"/>
        <v>4.7E-2</v>
      </c>
      <c r="J907" s="59">
        <f t="shared" si="222"/>
        <v>0.106</v>
      </c>
      <c r="K907" s="60">
        <f t="shared" si="222"/>
        <v>9.5000000000000001E-2</v>
      </c>
      <c r="L907" s="58">
        <f t="shared" si="222"/>
        <v>0.127</v>
      </c>
      <c r="M907" s="59">
        <f t="shared" si="222"/>
        <v>0.123</v>
      </c>
      <c r="N907" s="59">
        <f t="shared" si="222"/>
        <v>0.127</v>
      </c>
      <c r="O907" s="59">
        <f t="shared" si="222"/>
        <v>0.127</v>
      </c>
      <c r="P907" s="59">
        <f t="shared" si="222"/>
        <v>0.126</v>
      </c>
      <c r="Q907" s="59">
        <f t="shared" si="222"/>
        <v>0.109</v>
      </c>
      <c r="R907" s="59">
        <f t="shared" si="222"/>
        <v>0.13600000000000001</v>
      </c>
      <c r="S907" s="59">
        <f t="shared" si="222"/>
        <v>0.125</v>
      </c>
      <c r="T907" s="78"/>
      <c r="AL907" s="5"/>
      <c r="AN907" s="1"/>
    </row>
    <row r="908" spans="2:40" ht="13.5" customHeight="1" x14ac:dyDescent="0.15">
      <c r="D908" s="457" t="s">
        <v>205</v>
      </c>
      <c r="E908" s="401"/>
      <c r="F908" s="401"/>
      <c r="G908" s="458"/>
      <c r="H908" s="54">
        <f>I908+J908+K908</f>
        <v>57</v>
      </c>
      <c r="I908" s="55">
        <v>4</v>
      </c>
      <c r="J908" s="55">
        <v>25</v>
      </c>
      <c r="K908" s="56">
        <v>28</v>
      </c>
      <c r="L908" s="54">
        <f>M908+N908+O908</f>
        <v>79</v>
      </c>
      <c r="M908" s="55">
        <v>1</v>
      </c>
      <c r="N908" s="55">
        <v>38</v>
      </c>
      <c r="O908" s="55">
        <v>40</v>
      </c>
      <c r="P908" s="55">
        <f>Q908+R908+S908</f>
        <v>95</v>
      </c>
      <c r="Q908" s="55">
        <v>6</v>
      </c>
      <c r="R908" s="55">
        <v>50</v>
      </c>
      <c r="S908" s="55">
        <v>39</v>
      </c>
      <c r="T908" s="421"/>
      <c r="AL908" s="5"/>
      <c r="AN908" s="1"/>
    </row>
    <row r="909" spans="2:40" x14ac:dyDescent="0.15">
      <c r="D909" s="459"/>
      <c r="E909" s="403"/>
      <c r="F909" s="403"/>
      <c r="G909" s="460"/>
      <c r="H909" s="58">
        <f t="shared" ref="H909:S909" si="223">ROUND(H908/(H$900+H$902+H$904+H$906+H$908+H$910+H$912+H$914),3)</f>
        <v>9.5000000000000001E-2</v>
      </c>
      <c r="I909" s="59">
        <f t="shared" si="223"/>
        <v>6.3E-2</v>
      </c>
      <c r="J909" s="59">
        <f t="shared" si="223"/>
        <v>0.20300000000000001</v>
      </c>
      <c r="K909" s="60">
        <f t="shared" si="223"/>
        <v>6.8000000000000005E-2</v>
      </c>
      <c r="L909" s="58">
        <f t="shared" si="223"/>
        <v>9.7000000000000003E-2</v>
      </c>
      <c r="M909" s="59">
        <f t="shared" si="223"/>
        <v>1.2E-2</v>
      </c>
      <c r="N909" s="59">
        <f t="shared" si="223"/>
        <v>0.17899999999999999</v>
      </c>
      <c r="O909" s="59">
        <f t="shared" si="223"/>
        <v>7.6999999999999999E-2</v>
      </c>
      <c r="P909" s="59">
        <f t="shared" si="223"/>
        <v>0.11</v>
      </c>
      <c r="Q909" s="59">
        <f t="shared" si="223"/>
        <v>6.5000000000000002E-2</v>
      </c>
      <c r="R909" s="59">
        <f t="shared" si="223"/>
        <v>0.20699999999999999</v>
      </c>
      <c r="S909" s="59">
        <f t="shared" si="223"/>
        <v>7.3999999999999996E-2</v>
      </c>
      <c r="T909" s="421"/>
      <c r="AL909" s="5"/>
      <c r="AN909" s="1"/>
    </row>
    <row r="910" spans="2:40" ht="13.5" customHeight="1" x14ac:dyDescent="0.15">
      <c r="D910" s="461" t="s">
        <v>240</v>
      </c>
      <c r="E910" s="462"/>
      <c r="F910" s="462"/>
      <c r="G910" s="463"/>
      <c r="H910" s="54">
        <f>I910+J910+K910</f>
        <v>34</v>
      </c>
      <c r="I910" s="55">
        <v>3</v>
      </c>
      <c r="J910" s="55">
        <v>4</v>
      </c>
      <c r="K910" s="56">
        <v>27</v>
      </c>
      <c r="L910" s="54">
        <f>M910+N910+O910</f>
        <v>60</v>
      </c>
      <c r="M910" s="55">
        <v>7</v>
      </c>
      <c r="N910" s="55">
        <v>15</v>
      </c>
      <c r="O910" s="55">
        <v>38</v>
      </c>
      <c r="P910" s="55">
        <f>Q910+R910+S910</f>
        <v>68</v>
      </c>
      <c r="Q910" s="55">
        <v>8</v>
      </c>
      <c r="R910" s="55">
        <v>12</v>
      </c>
      <c r="S910" s="55">
        <v>48</v>
      </c>
      <c r="T910" s="102"/>
      <c r="AL910" s="5"/>
      <c r="AN910" s="1"/>
    </row>
    <row r="911" spans="2:40" x14ac:dyDescent="0.15">
      <c r="D911" s="464"/>
      <c r="E911" s="465"/>
      <c r="F911" s="465"/>
      <c r="G911" s="466"/>
      <c r="H911" s="58">
        <f t="shared" ref="H911:S911" si="224">ROUND(H910/(H$900+H$902+H$904+H$906+H$908+H$910+H$912+H$914),3)</f>
        <v>5.7000000000000002E-2</v>
      </c>
      <c r="I911" s="59">
        <f t="shared" si="224"/>
        <v>4.7E-2</v>
      </c>
      <c r="J911" s="59">
        <f t="shared" si="224"/>
        <v>3.3000000000000002E-2</v>
      </c>
      <c r="K911" s="60">
        <f t="shared" si="224"/>
        <v>6.6000000000000003E-2</v>
      </c>
      <c r="L911" s="58">
        <f t="shared" si="224"/>
        <v>7.3999999999999996E-2</v>
      </c>
      <c r="M911" s="59">
        <f t="shared" si="224"/>
        <v>8.5999999999999993E-2</v>
      </c>
      <c r="N911" s="59">
        <f t="shared" si="224"/>
        <v>7.0999999999999994E-2</v>
      </c>
      <c r="O911" s="59">
        <f t="shared" si="224"/>
        <v>7.2999999999999995E-2</v>
      </c>
      <c r="P911" s="59">
        <f t="shared" si="224"/>
        <v>7.9000000000000001E-2</v>
      </c>
      <c r="Q911" s="59">
        <f t="shared" si="224"/>
        <v>8.6999999999999994E-2</v>
      </c>
      <c r="R911" s="59">
        <f t="shared" si="224"/>
        <v>0.05</v>
      </c>
      <c r="S911" s="59">
        <f t="shared" si="224"/>
        <v>9.0999999999999998E-2</v>
      </c>
      <c r="T911" s="78"/>
      <c r="AL911" s="5"/>
      <c r="AN911" s="1"/>
    </row>
    <row r="912" spans="2:40" ht="13.5" customHeight="1" x14ac:dyDescent="0.15">
      <c r="D912" s="461" t="s">
        <v>241</v>
      </c>
      <c r="E912" s="462"/>
      <c r="F912" s="462"/>
      <c r="G912" s="463"/>
      <c r="H912" s="54">
        <f>I912+J912+K912</f>
        <v>6</v>
      </c>
      <c r="I912" s="55">
        <v>2</v>
      </c>
      <c r="J912" s="55">
        <v>1</v>
      </c>
      <c r="K912" s="56">
        <v>3</v>
      </c>
      <c r="L912" s="54">
        <f>M912+N912+O912</f>
        <v>37</v>
      </c>
      <c r="M912" s="55">
        <v>6</v>
      </c>
      <c r="N912" s="55">
        <v>9</v>
      </c>
      <c r="O912" s="55">
        <v>22</v>
      </c>
      <c r="P912" s="55">
        <f>Q912+R912+S912</f>
        <v>52</v>
      </c>
      <c r="Q912" s="55">
        <v>14</v>
      </c>
      <c r="R912" s="55">
        <v>13</v>
      </c>
      <c r="S912" s="55">
        <v>25</v>
      </c>
      <c r="T912" s="102"/>
      <c r="AL912" s="5"/>
      <c r="AN912" s="1"/>
    </row>
    <row r="913" spans="4:40" x14ac:dyDescent="0.15">
      <c r="D913" s="464"/>
      <c r="E913" s="465"/>
      <c r="F913" s="465"/>
      <c r="G913" s="466"/>
      <c r="H913" s="58">
        <f t="shared" ref="H913:S913" si="225">ROUND(H912/(H$900+H$902+H$904+H$906+H$908+H$910+H$912+H$914),3)</f>
        <v>0.01</v>
      </c>
      <c r="I913" s="59">
        <f t="shared" si="225"/>
        <v>3.1E-2</v>
      </c>
      <c r="J913" s="59">
        <f t="shared" si="225"/>
        <v>8.0000000000000002E-3</v>
      </c>
      <c r="K913" s="60">
        <f t="shared" si="225"/>
        <v>7.0000000000000001E-3</v>
      </c>
      <c r="L913" s="58">
        <f t="shared" si="225"/>
        <v>4.5999999999999999E-2</v>
      </c>
      <c r="M913" s="59">
        <f t="shared" si="225"/>
        <v>7.3999999999999996E-2</v>
      </c>
      <c r="N913" s="59">
        <f t="shared" si="225"/>
        <v>4.2000000000000003E-2</v>
      </c>
      <c r="O913" s="59">
        <f t="shared" si="225"/>
        <v>4.2000000000000003E-2</v>
      </c>
      <c r="P913" s="59">
        <f t="shared" si="225"/>
        <v>0.06</v>
      </c>
      <c r="Q913" s="59">
        <f t="shared" si="225"/>
        <v>0.152</v>
      </c>
      <c r="R913" s="59">
        <f t="shared" si="225"/>
        <v>5.3999999999999999E-2</v>
      </c>
      <c r="S913" s="59">
        <f t="shared" si="225"/>
        <v>4.7E-2</v>
      </c>
      <c r="T913" s="78"/>
      <c r="AL913" s="5"/>
      <c r="AN913" s="1"/>
    </row>
    <row r="914" spans="4:40" ht="13.5" customHeight="1" x14ac:dyDescent="0.15">
      <c r="D914" s="457" t="s">
        <v>121</v>
      </c>
      <c r="E914" s="401"/>
      <c r="F914" s="401"/>
      <c r="G914" s="458"/>
      <c r="H914" s="54">
        <f>I914+J914+K914</f>
        <v>11</v>
      </c>
      <c r="I914" s="55">
        <v>3</v>
      </c>
      <c r="J914" s="55">
        <v>2</v>
      </c>
      <c r="K914" s="56">
        <v>6</v>
      </c>
      <c r="L914" s="54">
        <f>M914+N914+O914</f>
        <v>18</v>
      </c>
      <c r="M914" s="55">
        <v>4</v>
      </c>
      <c r="N914" s="55">
        <v>4</v>
      </c>
      <c r="O914" s="55">
        <v>10</v>
      </c>
      <c r="P914" s="55">
        <f>Q914+R914+S914</f>
        <v>17</v>
      </c>
      <c r="Q914" s="55">
        <v>1</v>
      </c>
      <c r="R914" s="55">
        <v>6</v>
      </c>
      <c r="S914" s="55">
        <v>10</v>
      </c>
      <c r="T914" s="421"/>
      <c r="AL914" s="5"/>
      <c r="AN914" s="1"/>
    </row>
    <row r="915" spans="4:40" x14ac:dyDescent="0.15">
      <c r="D915" s="459"/>
      <c r="E915" s="403"/>
      <c r="F915" s="403"/>
      <c r="G915" s="460"/>
      <c r="H915" s="58">
        <f t="shared" ref="H915:S915" si="226">ROUND(H914/(H$900+H$902+H$904+H$906+H$908+H$910+H$912+H$914),3)</f>
        <v>1.7999999999999999E-2</v>
      </c>
      <c r="I915" s="59">
        <f t="shared" si="226"/>
        <v>4.7E-2</v>
      </c>
      <c r="J915" s="59">
        <f t="shared" si="226"/>
        <v>1.6E-2</v>
      </c>
      <c r="K915" s="60">
        <f t="shared" si="226"/>
        <v>1.4999999999999999E-2</v>
      </c>
      <c r="L915" s="58">
        <f t="shared" si="226"/>
        <v>2.1999999999999999E-2</v>
      </c>
      <c r="M915" s="59">
        <f t="shared" si="226"/>
        <v>4.9000000000000002E-2</v>
      </c>
      <c r="N915" s="59">
        <f t="shared" si="226"/>
        <v>1.9E-2</v>
      </c>
      <c r="O915" s="59">
        <f t="shared" si="226"/>
        <v>1.9E-2</v>
      </c>
      <c r="P915" s="59">
        <f t="shared" si="226"/>
        <v>0.02</v>
      </c>
      <c r="Q915" s="59">
        <f t="shared" si="226"/>
        <v>1.0999999999999999E-2</v>
      </c>
      <c r="R915" s="59">
        <f t="shared" si="226"/>
        <v>2.5000000000000001E-2</v>
      </c>
      <c r="S915" s="59">
        <f t="shared" si="226"/>
        <v>1.9E-2</v>
      </c>
      <c r="T915" s="421"/>
      <c r="AL915" s="5"/>
      <c r="AN915" s="1"/>
    </row>
    <row r="916" spans="4:40" x14ac:dyDescent="0.15">
      <c r="D916" s="399" t="s">
        <v>53</v>
      </c>
      <c r="E916" s="386"/>
      <c r="F916" s="386"/>
      <c r="G916" s="453"/>
      <c r="H916" s="54">
        <f t="shared" ref="H916:S917" si="227">H900+H902+H904+H906+H908+H910+H912+H914</f>
        <v>598</v>
      </c>
      <c r="I916" s="55">
        <f t="shared" si="227"/>
        <v>64</v>
      </c>
      <c r="J916" s="55">
        <f t="shared" si="227"/>
        <v>123</v>
      </c>
      <c r="K916" s="56">
        <f t="shared" si="227"/>
        <v>411</v>
      </c>
      <c r="L916" s="54">
        <f t="shared" si="227"/>
        <v>813</v>
      </c>
      <c r="M916" s="55">
        <f t="shared" si="227"/>
        <v>81</v>
      </c>
      <c r="N916" s="55">
        <f t="shared" si="227"/>
        <v>212</v>
      </c>
      <c r="O916" s="55">
        <f t="shared" si="227"/>
        <v>520</v>
      </c>
      <c r="P916" s="55">
        <f t="shared" si="227"/>
        <v>862</v>
      </c>
      <c r="Q916" s="55">
        <f t="shared" si="227"/>
        <v>92</v>
      </c>
      <c r="R916" s="55">
        <f t="shared" si="227"/>
        <v>242</v>
      </c>
      <c r="S916" s="55">
        <f t="shared" si="227"/>
        <v>528</v>
      </c>
      <c r="T916" s="102"/>
      <c r="AL916" s="5"/>
      <c r="AN916" s="1"/>
    </row>
    <row r="917" spans="4:40" ht="14.25" thickBot="1" x14ac:dyDescent="0.2">
      <c r="D917" s="400"/>
      <c r="E917" s="443"/>
      <c r="F917" s="443"/>
      <c r="G917" s="454"/>
      <c r="H917" s="65">
        <f t="shared" si="227"/>
        <v>1</v>
      </c>
      <c r="I917" s="66">
        <f t="shared" si="227"/>
        <v>1.0010000000000001</v>
      </c>
      <c r="J917" s="66">
        <f t="shared" si="227"/>
        <v>1</v>
      </c>
      <c r="K917" s="67">
        <f t="shared" si="227"/>
        <v>1.0010000000000001</v>
      </c>
      <c r="L917" s="68">
        <f t="shared" si="227"/>
        <v>1.0009999999999999</v>
      </c>
      <c r="M917" s="69">
        <f t="shared" si="227"/>
        <v>0.99799999999999989</v>
      </c>
      <c r="N917" s="69">
        <f t="shared" si="227"/>
        <v>0.99999999999999989</v>
      </c>
      <c r="O917" s="69">
        <f t="shared" si="227"/>
        <v>0.99999999999999989</v>
      </c>
      <c r="P917" s="69">
        <f t="shared" si="227"/>
        <v>1</v>
      </c>
      <c r="Q917" s="69">
        <f t="shared" si="227"/>
        <v>1</v>
      </c>
      <c r="R917" s="69">
        <f t="shared" si="227"/>
        <v>1</v>
      </c>
      <c r="S917" s="69">
        <f t="shared" si="227"/>
        <v>1</v>
      </c>
      <c r="T917" s="78"/>
      <c r="AL917" s="5"/>
      <c r="AN917" s="1"/>
    </row>
    <row r="918" spans="4:40" x14ac:dyDescent="0.15">
      <c r="D918" s="100"/>
      <c r="E918" s="100"/>
      <c r="F918" s="90"/>
      <c r="G918" s="90"/>
      <c r="H918" s="90"/>
      <c r="I918" s="90"/>
      <c r="J918" s="78"/>
      <c r="K918" s="78"/>
      <c r="L918" s="78"/>
      <c r="M918" s="78"/>
      <c r="N918" s="78"/>
      <c r="O918" s="78"/>
      <c r="P918" s="78"/>
      <c r="Q918" s="78"/>
      <c r="R918" s="72"/>
      <c r="S918" s="72"/>
      <c r="T918" s="46"/>
      <c r="V918" s="46"/>
      <c r="W918" s="2"/>
    </row>
    <row r="919" spans="4:40" x14ac:dyDescent="0.15">
      <c r="D919" s="100"/>
      <c r="E919" s="100"/>
      <c r="F919" s="90"/>
      <c r="G919" s="90"/>
      <c r="H919" s="90"/>
      <c r="I919" s="90"/>
      <c r="J919" s="78"/>
      <c r="K919" s="78"/>
      <c r="L919" s="78"/>
      <c r="M919" s="78"/>
      <c r="N919" s="78"/>
      <c r="O919" s="78"/>
      <c r="P919" s="78"/>
      <c r="Q919" s="78"/>
      <c r="R919" s="72"/>
      <c r="S919" s="72"/>
      <c r="T919" s="46"/>
      <c r="V919" s="46"/>
      <c r="W919" s="2"/>
    </row>
    <row r="920" spans="4:40" x14ac:dyDescent="0.15">
      <c r="D920" s="100"/>
      <c r="E920" s="100"/>
      <c r="F920" s="90"/>
      <c r="G920" s="90"/>
      <c r="H920" s="90"/>
      <c r="I920" s="90"/>
      <c r="J920" s="78"/>
      <c r="K920" s="78"/>
      <c r="L920" s="78"/>
      <c r="M920" s="78"/>
      <c r="N920" s="78"/>
      <c r="O920" s="78"/>
      <c r="P920" s="78"/>
      <c r="Q920" s="78"/>
      <c r="R920" s="72"/>
      <c r="S920" s="72"/>
      <c r="T920" s="141" t="s">
        <v>242</v>
      </c>
      <c r="U920" s="4">
        <v>213</v>
      </c>
      <c r="V920" s="46"/>
      <c r="W920" s="2"/>
    </row>
    <row r="921" spans="4:40" x14ac:dyDescent="0.15">
      <c r="D921" s="100"/>
      <c r="E921" s="100"/>
      <c r="F921" s="90"/>
      <c r="G921" s="90"/>
      <c r="H921" s="90"/>
      <c r="I921" s="90"/>
      <c r="J921" s="78"/>
      <c r="K921" s="78"/>
      <c r="L921" s="78"/>
      <c r="M921" s="78"/>
      <c r="N921" s="78"/>
      <c r="O921" s="78"/>
      <c r="P921" s="78"/>
      <c r="Q921" s="78"/>
      <c r="R921" s="72"/>
      <c r="S921" s="72"/>
      <c r="T921" s="141" t="s">
        <v>243</v>
      </c>
      <c r="U921" s="4">
        <v>126</v>
      </c>
      <c r="V921" s="46"/>
      <c r="W921" s="2"/>
    </row>
    <row r="922" spans="4:40" x14ac:dyDescent="0.15">
      <c r="D922" s="100"/>
      <c r="E922" s="100"/>
      <c r="F922" s="90"/>
      <c r="G922" s="90"/>
      <c r="H922" s="90"/>
      <c r="I922" s="90"/>
      <c r="J922" s="78"/>
      <c r="K922" s="78"/>
      <c r="L922" s="78"/>
      <c r="M922" s="78"/>
      <c r="N922" s="78"/>
      <c r="O922" s="78"/>
      <c r="P922" s="78"/>
      <c r="Q922" s="78"/>
      <c r="R922" s="72"/>
      <c r="S922" s="72"/>
      <c r="T922" s="141" t="s">
        <v>244</v>
      </c>
      <c r="U922" s="4">
        <v>96</v>
      </c>
      <c r="V922" s="46"/>
      <c r="W922" s="2"/>
    </row>
    <row r="923" spans="4:40" x14ac:dyDescent="0.15">
      <c r="D923" s="100"/>
      <c r="E923" s="100"/>
      <c r="F923" s="90"/>
      <c r="G923" s="90"/>
      <c r="H923" s="90"/>
      <c r="I923" s="90"/>
      <c r="J923" s="78"/>
      <c r="K923" s="78"/>
      <c r="L923" s="78"/>
      <c r="M923" s="78"/>
      <c r="N923" s="78"/>
      <c r="O923" s="78"/>
      <c r="P923" s="78"/>
      <c r="Q923" s="78"/>
      <c r="R923" s="72"/>
      <c r="S923" s="72"/>
      <c r="T923" s="46" t="s">
        <v>7</v>
      </c>
      <c r="U923" s="4">
        <v>55</v>
      </c>
      <c r="V923" s="46"/>
      <c r="W923" s="2"/>
    </row>
    <row r="924" spans="4:40" x14ac:dyDescent="0.15">
      <c r="D924" s="100"/>
      <c r="E924" s="100"/>
      <c r="F924" s="90"/>
      <c r="G924" s="90"/>
      <c r="H924" s="90"/>
      <c r="I924" s="90"/>
      <c r="J924" s="78"/>
      <c r="K924" s="78"/>
      <c r="L924" s="78"/>
      <c r="M924" s="78"/>
      <c r="N924" s="78"/>
      <c r="O924" s="78"/>
      <c r="P924" s="78"/>
      <c r="Q924" s="78"/>
      <c r="R924" s="72"/>
      <c r="S924" s="72"/>
      <c r="T924" s="46" t="s">
        <v>205</v>
      </c>
      <c r="U924" s="4">
        <v>57</v>
      </c>
      <c r="V924" s="46"/>
      <c r="W924" s="2"/>
    </row>
    <row r="925" spans="4:40" x14ac:dyDescent="0.15">
      <c r="D925" s="100"/>
      <c r="E925" s="100"/>
      <c r="F925" s="90"/>
      <c r="G925" s="90"/>
      <c r="H925" s="90"/>
      <c r="I925" s="90"/>
      <c r="J925" s="78"/>
      <c r="K925" s="78"/>
      <c r="L925" s="78"/>
      <c r="M925" s="78"/>
      <c r="N925" s="78"/>
      <c r="O925" s="78"/>
      <c r="P925" s="78"/>
      <c r="Q925" s="78"/>
      <c r="R925" s="72"/>
      <c r="S925" s="72"/>
      <c r="T925" s="141" t="s">
        <v>245</v>
      </c>
      <c r="U925" s="4">
        <v>34</v>
      </c>
      <c r="V925" s="46"/>
      <c r="W925" s="2"/>
    </row>
    <row r="926" spans="4:40" x14ac:dyDescent="0.15">
      <c r="D926" s="100"/>
      <c r="E926" s="100"/>
      <c r="F926" s="90"/>
      <c r="G926" s="90"/>
      <c r="H926" s="90"/>
      <c r="I926" s="90"/>
      <c r="J926" s="78"/>
      <c r="K926" s="78"/>
      <c r="L926" s="78"/>
      <c r="M926" s="78"/>
      <c r="N926" s="78"/>
      <c r="O926" s="78"/>
      <c r="P926" s="78"/>
      <c r="Q926" s="78"/>
      <c r="R926" s="72"/>
      <c r="S926" s="72"/>
      <c r="T926" s="141" t="s">
        <v>246</v>
      </c>
      <c r="U926" s="4">
        <v>6</v>
      </c>
      <c r="V926" s="46"/>
      <c r="W926" s="2"/>
    </row>
    <row r="927" spans="4:40" x14ac:dyDescent="0.15">
      <c r="D927" s="100"/>
      <c r="E927" s="100"/>
      <c r="F927" s="90"/>
      <c r="G927" s="90"/>
      <c r="H927" s="90"/>
      <c r="I927" s="90"/>
      <c r="J927" s="78"/>
      <c r="K927" s="78"/>
      <c r="L927" s="78"/>
      <c r="M927" s="78"/>
      <c r="N927" s="78"/>
      <c r="O927" s="78"/>
      <c r="P927" s="78"/>
      <c r="Q927" s="78"/>
      <c r="R927" s="72"/>
      <c r="S927" s="72"/>
      <c r="T927" s="46" t="s">
        <v>121</v>
      </c>
      <c r="U927" s="4">
        <v>11</v>
      </c>
      <c r="V927" s="46"/>
      <c r="W927" s="2"/>
    </row>
    <row r="928" spans="4:40" x14ac:dyDescent="0.15">
      <c r="D928" s="100"/>
      <c r="E928" s="100"/>
      <c r="F928" s="90"/>
      <c r="G928" s="90"/>
      <c r="H928" s="90"/>
      <c r="I928" s="90"/>
      <c r="J928" s="78"/>
      <c r="K928" s="78"/>
      <c r="L928" s="78"/>
      <c r="M928" s="78"/>
      <c r="N928" s="78"/>
      <c r="O928" s="78"/>
      <c r="P928" s="78"/>
      <c r="Q928" s="78"/>
      <c r="R928" s="72"/>
      <c r="S928" s="72"/>
      <c r="T928" s="46"/>
      <c r="V928" s="46"/>
      <c r="W928" s="2"/>
    </row>
    <row r="929" spans="2:40" x14ac:dyDescent="0.15">
      <c r="D929" s="100"/>
      <c r="E929" s="100"/>
      <c r="F929" s="90"/>
      <c r="G929" s="90"/>
      <c r="H929" s="90"/>
      <c r="I929" s="90"/>
      <c r="J929" s="78"/>
      <c r="K929" s="78"/>
      <c r="L929" s="78"/>
      <c r="M929" s="78"/>
      <c r="N929" s="78"/>
      <c r="O929" s="78"/>
      <c r="P929" s="78"/>
      <c r="Q929" s="78"/>
      <c r="R929" s="72"/>
      <c r="S929" s="72"/>
      <c r="T929" s="46"/>
      <c r="V929" s="46"/>
      <c r="W929" s="2"/>
    </row>
    <row r="930" spans="2:40" x14ac:dyDescent="0.15">
      <c r="D930" s="100"/>
      <c r="E930" s="100"/>
      <c r="F930" s="90"/>
      <c r="G930" s="90"/>
      <c r="H930" s="90"/>
      <c r="I930" s="90"/>
      <c r="J930" s="78"/>
      <c r="K930" s="78"/>
      <c r="L930" s="78"/>
      <c r="M930" s="78"/>
      <c r="N930" s="78"/>
      <c r="O930" s="78"/>
      <c r="P930" s="78"/>
      <c r="Q930" s="78"/>
      <c r="R930" s="72"/>
      <c r="S930" s="72"/>
      <c r="T930" s="46"/>
      <c r="V930" s="46"/>
      <c r="W930" s="2"/>
    </row>
    <row r="931" spans="2:40" x14ac:dyDescent="0.15">
      <c r="D931" s="100"/>
      <c r="E931" s="100"/>
      <c r="F931" s="90"/>
      <c r="G931" s="90"/>
      <c r="H931" s="90"/>
      <c r="I931" s="90"/>
      <c r="J931" s="78"/>
      <c r="K931" s="78"/>
      <c r="L931" s="78"/>
      <c r="M931" s="78"/>
      <c r="N931" s="78"/>
      <c r="O931" s="78"/>
      <c r="P931" s="78"/>
      <c r="Q931" s="78"/>
      <c r="R931" s="72"/>
      <c r="S931" s="72"/>
      <c r="T931" s="46"/>
      <c r="V931" s="46"/>
      <c r="W931" s="2"/>
    </row>
    <row r="932" spans="2:40" x14ac:dyDescent="0.15">
      <c r="D932" s="100"/>
      <c r="E932" s="100"/>
      <c r="F932" s="90"/>
      <c r="G932" s="90"/>
      <c r="H932" s="90"/>
      <c r="I932" s="90"/>
      <c r="J932" s="78"/>
      <c r="K932" s="78"/>
      <c r="L932" s="78"/>
      <c r="M932" s="78"/>
      <c r="N932" s="78"/>
      <c r="O932" s="78"/>
      <c r="P932" s="78"/>
      <c r="Q932" s="78"/>
      <c r="R932" s="72"/>
      <c r="S932" s="72"/>
      <c r="T932" s="46"/>
      <c r="V932" s="46"/>
      <c r="W932" s="2"/>
    </row>
    <row r="933" spans="2:40" x14ac:dyDescent="0.15">
      <c r="D933" s="100"/>
      <c r="E933" s="100"/>
      <c r="F933" s="90"/>
      <c r="G933" s="90"/>
      <c r="H933" s="90"/>
      <c r="I933" s="90"/>
      <c r="J933" s="78"/>
      <c r="K933" s="78"/>
      <c r="L933" s="78"/>
      <c r="M933" s="78"/>
      <c r="N933" s="78"/>
      <c r="O933" s="78"/>
      <c r="P933" s="78"/>
      <c r="Q933" s="78"/>
      <c r="R933" s="72"/>
      <c r="S933" s="72"/>
      <c r="T933" s="46"/>
      <c r="V933" s="46"/>
      <c r="W933" s="2"/>
    </row>
    <row r="934" spans="2:40" x14ac:dyDescent="0.15">
      <c r="D934" s="100"/>
      <c r="E934" s="100"/>
      <c r="F934" s="90"/>
      <c r="G934" s="90"/>
      <c r="H934" s="90"/>
      <c r="I934" s="90"/>
      <c r="J934" s="78"/>
      <c r="K934" s="78"/>
      <c r="L934" s="78"/>
      <c r="M934" s="78"/>
      <c r="N934" s="78"/>
      <c r="O934" s="78"/>
      <c r="P934" s="78"/>
      <c r="Q934" s="78"/>
      <c r="R934" s="72"/>
      <c r="S934" s="72"/>
      <c r="T934" s="46"/>
      <c r="V934" s="46"/>
      <c r="W934" s="2"/>
    </row>
    <row r="935" spans="2:40" x14ac:dyDescent="0.15">
      <c r="D935" s="100"/>
      <c r="E935" s="100"/>
      <c r="F935" s="90"/>
      <c r="G935" s="90"/>
      <c r="H935" s="90"/>
      <c r="I935" s="90"/>
      <c r="J935" s="78"/>
      <c r="K935" s="78"/>
      <c r="L935" s="78"/>
      <c r="M935" s="78"/>
      <c r="N935" s="78"/>
      <c r="O935" s="78"/>
      <c r="P935" s="78"/>
      <c r="Q935" s="78"/>
      <c r="R935" s="72"/>
      <c r="S935" s="72"/>
      <c r="T935" s="46"/>
      <c r="V935" s="46"/>
      <c r="W935" s="2"/>
    </row>
    <row r="936" spans="2:40" x14ac:dyDescent="0.15">
      <c r="D936" s="100"/>
      <c r="E936" s="100"/>
      <c r="F936" s="90"/>
      <c r="G936" s="90"/>
      <c r="H936" s="90"/>
      <c r="I936" s="90"/>
      <c r="J936" s="78"/>
      <c r="K936" s="78"/>
      <c r="L936" s="78"/>
      <c r="M936" s="78"/>
      <c r="N936" s="78"/>
      <c r="O936" s="78"/>
      <c r="P936" s="78"/>
      <c r="Q936" s="78"/>
      <c r="R936" s="72"/>
      <c r="S936" s="72"/>
      <c r="T936" s="46"/>
      <c r="V936" s="46"/>
      <c r="W936" s="2"/>
    </row>
    <row r="937" spans="2:40" x14ac:dyDescent="0.15">
      <c r="D937" s="100"/>
      <c r="E937" s="100"/>
      <c r="F937" s="90"/>
      <c r="G937" s="90"/>
      <c r="H937" s="90"/>
      <c r="I937" s="90"/>
      <c r="J937" s="78"/>
      <c r="K937" s="78"/>
      <c r="L937" s="78"/>
      <c r="M937" s="78"/>
      <c r="N937" s="78"/>
      <c r="O937" s="78"/>
      <c r="P937" s="78"/>
      <c r="Q937" s="78"/>
      <c r="R937" s="72"/>
      <c r="S937" s="72"/>
      <c r="T937" s="46"/>
      <c r="V937" s="46"/>
      <c r="W937" s="2"/>
    </row>
    <row r="938" spans="2:40" x14ac:dyDescent="0.15">
      <c r="D938" s="100"/>
      <c r="E938" s="100"/>
      <c r="F938" s="90"/>
      <c r="G938" s="90"/>
      <c r="H938" s="90"/>
      <c r="I938" s="90"/>
      <c r="J938" s="78"/>
      <c r="K938" s="78"/>
      <c r="L938" s="78"/>
      <c r="M938" s="78"/>
      <c r="N938" s="78"/>
      <c r="O938" s="78"/>
      <c r="P938" s="78"/>
      <c r="Q938" s="78"/>
      <c r="R938" s="72"/>
      <c r="S938" s="72"/>
      <c r="T938" s="46"/>
      <c r="V938" s="46"/>
      <c r="W938" s="2"/>
    </row>
    <row r="939" spans="2:40" x14ac:dyDescent="0.15">
      <c r="D939" s="100"/>
      <c r="E939" s="100"/>
      <c r="F939" s="90"/>
      <c r="G939" s="90"/>
      <c r="H939" s="90"/>
      <c r="I939" s="90"/>
      <c r="J939" s="78"/>
      <c r="K939" s="78"/>
      <c r="L939" s="78"/>
      <c r="M939" s="78"/>
      <c r="N939" s="78"/>
      <c r="O939" s="78"/>
      <c r="P939" s="78"/>
      <c r="Q939" s="78"/>
      <c r="R939" s="72"/>
      <c r="S939" s="72"/>
      <c r="T939" s="46"/>
      <c r="V939" s="46"/>
      <c r="W939" s="2"/>
    </row>
    <row r="940" spans="2:40" x14ac:dyDescent="0.15">
      <c r="D940" s="100"/>
      <c r="E940" s="100"/>
      <c r="F940" s="90"/>
      <c r="G940" s="90"/>
      <c r="H940" s="90"/>
      <c r="I940" s="90"/>
      <c r="J940" s="78"/>
      <c r="K940" s="78"/>
      <c r="L940" s="78"/>
      <c r="M940" s="78"/>
      <c r="N940" s="78"/>
      <c r="O940" s="78"/>
      <c r="P940" s="78"/>
      <c r="Q940" s="78"/>
      <c r="R940" s="72"/>
      <c r="S940" s="72"/>
      <c r="T940" s="46"/>
      <c r="V940" s="46"/>
      <c r="W940" s="2"/>
    </row>
    <row r="941" spans="2:40" x14ac:dyDescent="0.15">
      <c r="D941" s="100"/>
      <c r="E941" s="100"/>
      <c r="F941" s="90"/>
      <c r="G941" s="90"/>
      <c r="H941" s="90"/>
      <c r="I941" s="90"/>
      <c r="J941" s="78"/>
      <c r="K941" s="78"/>
      <c r="L941" s="78"/>
      <c r="M941" s="78"/>
      <c r="N941" s="78"/>
      <c r="O941" s="78"/>
      <c r="P941" s="78"/>
      <c r="Q941" s="78"/>
      <c r="R941" s="72"/>
      <c r="S941" s="72"/>
      <c r="T941" s="46"/>
      <c r="V941" s="46"/>
      <c r="W941" s="2"/>
    </row>
    <row r="942" spans="2:40" x14ac:dyDescent="0.15">
      <c r="B942" s="10" t="s">
        <v>247</v>
      </c>
      <c r="D942" s="100"/>
      <c r="E942" s="100"/>
      <c r="F942" s="90"/>
      <c r="G942" s="90"/>
      <c r="H942" s="90"/>
      <c r="I942" s="90"/>
      <c r="J942" s="78"/>
      <c r="K942" s="78"/>
      <c r="L942" s="78"/>
      <c r="M942" s="78"/>
      <c r="N942" s="78"/>
      <c r="O942" s="78"/>
      <c r="P942" s="78"/>
      <c r="Q942" s="78"/>
      <c r="R942" s="72"/>
      <c r="S942" s="72"/>
      <c r="V942" s="46"/>
      <c r="W942" s="2"/>
    </row>
    <row r="943" spans="2:40" s="2" customFormat="1" x14ac:dyDescent="0.15">
      <c r="B943" s="148"/>
      <c r="C943" s="149" t="s">
        <v>248</v>
      </c>
      <c r="D943" s="150"/>
      <c r="E943" s="150"/>
      <c r="F943" s="151"/>
      <c r="G943" s="90"/>
      <c r="H943" s="90"/>
      <c r="I943" s="90"/>
      <c r="J943" s="78"/>
      <c r="K943" s="78"/>
      <c r="L943" s="78"/>
      <c r="M943" s="78"/>
      <c r="N943" s="78"/>
      <c r="O943" s="78"/>
      <c r="P943" s="78"/>
      <c r="Q943" s="78"/>
      <c r="R943" s="72"/>
      <c r="S943" s="72"/>
      <c r="V943" s="100"/>
      <c r="W943" s="100"/>
      <c r="AN943" s="146"/>
    </row>
    <row r="944" spans="2:40" s="2" customFormat="1" ht="13.5" customHeight="1" x14ac:dyDescent="0.15">
      <c r="B944" s="149"/>
      <c r="C944" s="149"/>
      <c r="D944" s="152" t="s">
        <v>249</v>
      </c>
      <c r="E944" s="150"/>
      <c r="F944" s="151"/>
      <c r="G944" s="90"/>
      <c r="H944" s="90"/>
      <c r="I944" s="90"/>
      <c r="J944" s="78"/>
      <c r="K944" s="78"/>
      <c r="L944" s="78"/>
      <c r="M944" s="78"/>
      <c r="N944" s="78"/>
      <c r="O944" s="78"/>
      <c r="P944" s="78"/>
      <c r="Q944" s="78"/>
      <c r="R944" s="72"/>
      <c r="S944" s="72"/>
      <c r="T944" s="46"/>
      <c r="V944" s="48"/>
      <c r="W944" s="100"/>
      <c r="AN944" s="146"/>
    </row>
    <row r="945" spans="2:40" s="2" customFormat="1" x14ac:dyDescent="0.15">
      <c r="B945" s="149"/>
      <c r="C945" s="149"/>
      <c r="D945" s="152" t="s">
        <v>250</v>
      </c>
      <c r="E945" s="150"/>
      <c r="F945" s="151"/>
      <c r="G945" s="90"/>
      <c r="H945" s="90"/>
      <c r="I945" s="90"/>
      <c r="J945" s="78"/>
      <c r="K945" s="78"/>
      <c r="L945" s="78"/>
      <c r="M945" s="78"/>
      <c r="N945" s="78"/>
      <c r="O945" s="78"/>
      <c r="P945" s="78"/>
      <c r="Q945" s="78"/>
      <c r="R945" s="72"/>
      <c r="S945" s="72"/>
      <c r="T945" s="46"/>
      <c r="V945" s="48"/>
      <c r="W945" s="100"/>
      <c r="AN945" s="146"/>
    </row>
    <row r="946" spans="2:40" s="2" customFormat="1" x14ac:dyDescent="0.15">
      <c r="B946" s="149"/>
      <c r="C946" s="149" t="s">
        <v>251</v>
      </c>
      <c r="D946" s="152"/>
      <c r="E946" s="150"/>
      <c r="F946" s="151"/>
      <c r="G946" s="90"/>
      <c r="H946" s="90"/>
      <c r="I946" s="90"/>
      <c r="J946" s="78"/>
      <c r="K946" s="78"/>
      <c r="L946" s="78"/>
      <c r="M946" s="78"/>
      <c r="N946" s="78"/>
      <c r="O946" s="78"/>
      <c r="P946" s="78"/>
      <c r="Q946" s="78"/>
      <c r="R946" s="72"/>
      <c r="S946" s="72"/>
      <c r="T946" s="46"/>
      <c r="V946" s="48"/>
      <c r="W946" s="100"/>
      <c r="AN946" s="146"/>
    </row>
    <row r="947" spans="2:40" s="2" customFormat="1" x14ac:dyDescent="0.15">
      <c r="B947" s="149"/>
      <c r="C947" s="149"/>
      <c r="D947" s="152" t="s">
        <v>252</v>
      </c>
      <c r="E947" s="150"/>
      <c r="F947" s="151"/>
      <c r="G947" s="90"/>
      <c r="H947" s="90"/>
      <c r="I947" s="90"/>
      <c r="J947" s="78"/>
      <c r="K947" s="78"/>
      <c r="L947" s="78"/>
      <c r="M947" s="78"/>
      <c r="N947" s="78"/>
      <c r="O947" s="78"/>
      <c r="P947" s="78"/>
      <c r="Q947" s="78"/>
      <c r="R947" s="72"/>
      <c r="S947" s="72"/>
      <c r="T947" s="46"/>
      <c r="V947" s="48"/>
      <c r="W947" s="100"/>
      <c r="AN947" s="146"/>
    </row>
    <row r="948" spans="2:40" s="2" customFormat="1" x14ac:dyDescent="0.15">
      <c r="B948" s="149"/>
      <c r="C948" s="149"/>
      <c r="D948" s="152" t="s">
        <v>253</v>
      </c>
      <c r="E948" s="150"/>
      <c r="F948" s="151"/>
      <c r="G948" s="90"/>
      <c r="H948" s="90"/>
      <c r="I948" s="90"/>
      <c r="J948" s="78"/>
      <c r="K948" s="78"/>
      <c r="L948" s="78"/>
      <c r="M948" s="78"/>
      <c r="N948" s="78"/>
      <c r="O948" s="78"/>
      <c r="P948" s="78"/>
      <c r="Q948" s="78"/>
      <c r="R948" s="72"/>
      <c r="S948" s="72"/>
      <c r="T948" s="46"/>
      <c r="V948" s="153"/>
      <c r="W948" s="100"/>
      <c r="AN948" s="146"/>
    </row>
    <row r="949" spans="2:40" s="2" customFormat="1" x14ac:dyDescent="0.15">
      <c r="B949" s="149"/>
      <c r="C949" s="149" t="s">
        <v>254</v>
      </c>
      <c r="D949" s="152"/>
      <c r="E949" s="150"/>
      <c r="F949" s="151"/>
      <c r="G949" s="90"/>
      <c r="H949" s="90"/>
      <c r="I949" s="90"/>
      <c r="J949" s="78"/>
      <c r="K949" s="78"/>
      <c r="L949" s="78"/>
      <c r="M949" s="78"/>
      <c r="N949" s="78"/>
      <c r="O949" s="78"/>
      <c r="P949" s="78"/>
      <c r="Q949" s="78"/>
      <c r="R949" s="72"/>
      <c r="S949" s="72"/>
      <c r="T949" s="46"/>
      <c r="V949" s="48"/>
      <c r="W949" s="100"/>
      <c r="AN949" s="146"/>
    </row>
    <row r="950" spans="2:40" s="2" customFormat="1" x14ac:dyDescent="0.15">
      <c r="B950" s="149"/>
      <c r="C950" s="149"/>
      <c r="D950" s="149" t="s">
        <v>255</v>
      </c>
      <c r="E950" s="149"/>
      <c r="F950" s="149"/>
      <c r="AN950" s="146"/>
    </row>
    <row r="951" spans="2:40" s="2" customFormat="1" x14ac:dyDescent="0.15">
      <c r="B951" s="149"/>
      <c r="C951" s="149"/>
      <c r="D951" s="149" t="s">
        <v>256</v>
      </c>
      <c r="E951" s="149"/>
      <c r="F951" s="149"/>
      <c r="AN951" s="146"/>
    </row>
    <row r="952" spans="2:40" s="2" customFormat="1" x14ac:dyDescent="0.15">
      <c r="B952" s="149"/>
      <c r="C952" s="149"/>
      <c r="D952" s="149" t="s">
        <v>257</v>
      </c>
      <c r="E952" s="149"/>
      <c r="F952" s="149"/>
      <c r="AN952" s="146"/>
    </row>
    <row r="953" spans="2:40" s="2" customFormat="1" x14ac:dyDescent="0.15">
      <c r="B953" s="149"/>
      <c r="C953" s="149"/>
      <c r="D953" s="152" t="s">
        <v>258</v>
      </c>
      <c r="E953" s="150"/>
      <c r="F953" s="151"/>
      <c r="G953" s="90"/>
      <c r="H953" s="90"/>
      <c r="I953" s="90"/>
      <c r="J953" s="78"/>
      <c r="K953" s="78"/>
      <c r="L953" s="78"/>
      <c r="M953" s="78"/>
      <c r="N953" s="78"/>
      <c r="O953" s="78"/>
      <c r="P953" s="78"/>
      <c r="Q953" s="78"/>
      <c r="R953" s="72"/>
      <c r="S953" s="72"/>
      <c r="V953" s="48"/>
      <c r="W953" s="100"/>
      <c r="AN953" s="146"/>
    </row>
    <row r="954" spans="2:40" s="2" customFormat="1" x14ac:dyDescent="0.15">
      <c r="B954" s="149"/>
      <c r="C954" s="149" t="s">
        <v>259</v>
      </c>
      <c r="D954" s="152"/>
      <c r="E954" s="150"/>
      <c r="F954" s="151"/>
      <c r="G954" s="90"/>
      <c r="H954" s="90"/>
      <c r="I954" s="90"/>
      <c r="J954" s="78"/>
      <c r="K954" s="78"/>
      <c r="L954" s="78"/>
      <c r="M954" s="78"/>
      <c r="N954" s="78"/>
      <c r="O954" s="78"/>
      <c r="P954" s="78"/>
      <c r="Q954" s="78"/>
      <c r="R954" s="72"/>
      <c r="S954" s="72"/>
      <c r="V954" s="48"/>
      <c r="W954" s="100"/>
      <c r="AN954" s="146"/>
    </row>
    <row r="955" spans="2:40" s="2" customFormat="1" x14ac:dyDescent="0.15">
      <c r="B955" s="149"/>
      <c r="C955" s="149"/>
      <c r="D955" s="152" t="s">
        <v>260</v>
      </c>
      <c r="E955" s="150"/>
      <c r="F955" s="90"/>
      <c r="H955" s="90"/>
      <c r="I955" s="90"/>
      <c r="J955" s="78"/>
      <c r="K955" s="78"/>
      <c r="L955" s="78"/>
      <c r="M955" s="78"/>
      <c r="N955" s="78"/>
      <c r="O955" s="78"/>
      <c r="P955" s="78"/>
      <c r="Q955" s="78"/>
      <c r="R955" s="72"/>
      <c r="S955" s="72"/>
      <c r="V955" s="48"/>
      <c r="W955" s="100"/>
      <c r="AN955" s="146"/>
    </row>
    <row r="956" spans="2:40" s="2" customFormat="1" x14ac:dyDescent="0.15">
      <c r="B956" s="149"/>
      <c r="C956" s="149"/>
      <c r="D956" s="152" t="s">
        <v>261</v>
      </c>
      <c r="E956" s="150"/>
      <c r="F956" s="90"/>
      <c r="H956" s="90"/>
      <c r="I956" s="90"/>
      <c r="J956" s="78"/>
      <c r="K956" s="78"/>
      <c r="L956" s="78"/>
      <c r="M956" s="78"/>
      <c r="N956" s="78"/>
      <c r="O956" s="78"/>
      <c r="P956" s="78"/>
      <c r="Q956" s="78"/>
      <c r="R956" s="72"/>
      <c r="S956" s="72"/>
      <c r="V956" s="48"/>
      <c r="W956" s="100"/>
      <c r="AN956" s="146"/>
    </row>
    <row r="957" spans="2:40" s="2" customFormat="1" x14ac:dyDescent="0.15">
      <c r="B957" s="149"/>
      <c r="C957" s="149"/>
      <c r="D957" s="152" t="s">
        <v>262</v>
      </c>
      <c r="E957" s="150"/>
      <c r="F957" s="151"/>
      <c r="G957" s="90"/>
      <c r="H957" s="90"/>
      <c r="I957" s="90"/>
      <c r="J957" s="78"/>
      <c r="K957" s="78"/>
      <c r="L957" s="78"/>
      <c r="M957" s="78"/>
      <c r="N957" s="78"/>
      <c r="O957" s="78"/>
      <c r="P957" s="78"/>
      <c r="Q957" s="78"/>
      <c r="R957" s="72"/>
      <c r="S957" s="72"/>
      <c r="V957" s="153"/>
      <c r="W957" s="100"/>
      <c r="AN957" s="146"/>
    </row>
    <row r="958" spans="2:40" s="2" customFormat="1" x14ac:dyDescent="0.15">
      <c r="B958" s="149"/>
      <c r="C958" s="149" t="s">
        <v>263</v>
      </c>
      <c r="D958" s="152"/>
      <c r="E958" s="150"/>
      <c r="F958" s="151"/>
      <c r="G958" s="90"/>
      <c r="H958" s="90"/>
      <c r="I958" s="90"/>
      <c r="J958" s="78"/>
      <c r="K958" s="78"/>
      <c r="L958" s="78"/>
      <c r="M958" s="78"/>
      <c r="N958" s="78"/>
      <c r="O958" s="78"/>
      <c r="P958" s="78"/>
      <c r="Q958" s="78"/>
      <c r="R958" s="72"/>
      <c r="S958" s="72"/>
      <c r="V958" s="48"/>
      <c r="W958" s="100"/>
      <c r="AN958" s="146"/>
    </row>
    <row r="959" spans="2:40" s="2" customFormat="1" x14ac:dyDescent="0.15">
      <c r="B959" s="149"/>
      <c r="C959" s="149"/>
      <c r="D959" s="152" t="s">
        <v>264</v>
      </c>
      <c r="E959" s="150"/>
      <c r="F959" s="151"/>
      <c r="G959" s="90"/>
      <c r="H959" s="90"/>
      <c r="I959" s="90"/>
      <c r="J959" s="78"/>
      <c r="K959" s="78"/>
      <c r="L959" s="78"/>
      <c r="M959" s="78"/>
      <c r="N959" s="78"/>
      <c r="O959" s="78"/>
      <c r="P959" s="78"/>
      <c r="Q959" s="78"/>
      <c r="R959" s="72"/>
      <c r="S959" s="72"/>
      <c r="V959" s="48"/>
      <c r="W959" s="100"/>
      <c r="AN959" s="146"/>
    </row>
    <row r="960" spans="2:40" s="2" customFormat="1" x14ac:dyDescent="0.15">
      <c r="B960" s="149"/>
      <c r="C960" s="149"/>
      <c r="D960" s="152" t="s">
        <v>265</v>
      </c>
      <c r="E960" s="150"/>
      <c r="F960" s="151"/>
      <c r="G960" s="90"/>
      <c r="H960" s="90"/>
      <c r="I960" s="90"/>
      <c r="J960" s="78"/>
      <c r="K960" s="78"/>
      <c r="L960" s="78"/>
      <c r="M960" s="78"/>
      <c r="N960" s="78"/>
      <c r="O960" s="78"/>
      <c r="P960" s="78"/>
      <c r="Q960" s="78"/>
      <c r="R960" s="72"/>
      <c r="S960" s="72"/>
      <c r="V960" s="48"/>
      <c r="W960" s="100"/>
      <c r="AN960" s="146"/>
    </row>
    <row r="961" spans="2:58" s="2" customFormat="1" x14ac:dyDescent="0.15">
      <c r="B961" s="149"/>
      <c r="C961" s="149" t="s">
        <v>266</v>
      </c>
      <c r="D961" s="152"/>
      <c r="E961" s="150"/>
      <c r="F961" s="151"/>
      <c r="G961" s="90"/>
      <c r="H961" s="90"/>
      <c r="I961" s="90"/>
      <c r="J961" s="78"/>
      <c r="K961" s="78"/>
      <c r="L961" s="78"/>
      <c r="M961" s="78"/>
      <c r="N961" s="78"/>
      <c r="O961" s="78"/>
      <c r="P961" s="78"/>
      <c r="Q961" s="78"/>
      <c r="R961" s="72"/>
      <c r="S961" s="72"/>
      <c r="V961" s="48"/>
      <c r="W961" s="100"/>
      <c r="AN961" s="146"/>
    </row>
    <row r="962" spans="2:58" s="2" customFormat="1" x14ac:dyDescent="0.15">
      <c r="B962" s="149"/>
      <c r="C962" s="149"/>
      <c r="D962" s="154" t="s">
        <v>267</v>
      </c>
      <c r="E962" s="150"/>
      <c r="F962" s="151"/>
      <c r="G962" s="90"/>
      <c r="H962" s="90"/>
      <c r="I962" s="90"/>
      <c r="J962" s="78"/>
      <c r="K962" s="78"/>
      <c r="L962" s="78"/>
      <c r="M962" s="78"/>
      <c r="N962" s="78"/>
      <c r="O962" s="78"/>
      <c r="P962" s="78"/>
      <c r="Q962" s="78"/>
      <c r="R962" s="72"/>
      <c r="S962" s="72"/>
      <c r="V962" s="147"/>
      <c r="W962" s="100"/>
      <c r="AN962" s="146"/>
    </row>
    <row r="963" spans="2:58" s="2" customFormat="1" x14ac:dyDescent="0.15">
      <c r="B963" s="149"/>
      <c r="C963" s="149"/>
      <c r="D963" s="152" t="s">
        <v>268</v>
      </c>
      <c r="E963" s="150"/>
      <c r="F963" s="151"/>
      <c r="G963" s="90"/>
      <c r="H963" s="90"/>
      <c r="I963" s="90"/>
      <c r="J963" s="78"/>
      <c r="K963" s="78"/>
      <c r="L963" s="78"/>
      <c r="M963" s="78"/>
      <c r="N963" s="78"/>
      <c r="O963" s="78"/>
      <c r="P963" s="78"/>
      <c r="Q963" s="78"/>
      <c r="R963" s="72"/>
      <c r="S963" s="72"/>
      <c r="V963" s="48"/>
      <c r="W963" s="100"/>
      <c r="AN963" s="146"/>
    </row>
    <row r="964" spans="2:58" ht="14.25" thickBot="1" x14ac:dyDescent="0.2">
      <c r="B964" s="1"/>
      <c r="C964" s="1"/>
      <c r="D964" s="152" t="s">
        <v>269</v>
      </c>
      <c r="N964" s="1"/>
      <c r="O964" s="1"/>
      <c r="P964" s="1"/>
      <c r="Q964" s="1"/>
      <c r="R964" s="1"/>
      <c r="S964" s="1"/>
      <c r="U964" s="47"/>
      <c r="W964" s="10" t="s">
        <v>270</v>
      </c>
      <c r="X964" s="2"/>
      <c r="Y964" s="2"/>
      <c r="Z964" s="2"/>
      <c r="AA964" s="2"/>
      <c r="AB964" s="11" t="s">
        <v>271</v>
      </c>
      <c r="AC964" s="2"/>
      <c r="AD964" s="2"/>
      <c r="AE964" s="2"/>
      <c r="AF964" s="52"/>
      <c r="AG964" s="2"/>
      <c r="AH964" s="2"/>
      <c r="AI964" s="2"/>
      <c r="AJ964" s="52"/>
      <c r="AK964" s="2"/>
      <c r="AL964" s="2"/>
      <c r="AM964" s="2"/>
      <c r="AN964" s="1"/>
      <c r="BF964" s="5"/>
    </row>
    <row r="965" spans="2:58" x14ac:dyDescent="0.15">
      <c r="B965" s="1"/>
      <c r="C965" s="1"/>
      <c r="D965" s="1" t="s">
        <v>272</v>
      </c>
      <c r="N965" s="1"/>
      <c r="O965" s="1"/>
      <c r="P965" s="1"/>
      <c r="Q965" s="1"/>
      <c r="R965" s="1"/>
      <c r="S965" s="1"/>
      <c r="U965" s="47"/>
      <c r="W965" s="2"/>
      <c r="X965" s="2"/>
      <c r="Y965" s="399"/>
      <c r="Z965" s="386"/>
      <c r="AA965" s="444" t="s">
        <v>28</v>
      </c>
      <c r="AB965" s="455"/>
      <c r="AC965" s="455"/>
      <c r="AD965" s="456"/>
      <c r="AE965" s="386" t="s">
        <v>273</v>
      </c>
      <c r="AF965" s="451"/>
      <c r="AG965" s="451"/>
      <c r="AH965" s="452"/>
      <c r="AI965" s="386" t="s">
        <v>274</v>
      </c>
      <c r="AJ965" s="451"/>
      <c r="AK965" s="451"/>
      <c r="AL965" s="452"/>
      <c r="AM965" s="12"/>
      <c r="AN965" s="2"/>
      <c r="AO965" s="2"/>
      <c r="BF965" s="5"/>
    </row>
    <row r="966" spans="2:58" x14ac:dyDescent="0.15">
      <c r="B966" s="1"/>
      <c r="C966" s="1"/>
      <c r="D966" s="1"/>
      <c r="N966" s="1"/>
      <c r="O966" s="1"/>
      <c r="P966" s="1"/>
      <c r="Q966" s="1"/>
      <c r="R966" s="1"/>
      <c r="S966" s="1"/>
      <c r="T966" s="2"/>
      <c r="U966" s="47"/>
      <c r="W966" s="2"/>
      <c r="X966" s="2"/>
      <c r="Y966" s="400"/>
      <c r="Z966" s="443"/>
      <c r="AA966" s="14"/>
      <c r="AB966" s="15" t="s">
        <v>29</v>
      </c>
      <c r="AC966" s="15" t="s">
        <v>30</v>
      </c>
      <c r="AD966" s="53" t="s">
        <v>31</v>
      </c>
      <c r="AE966" s="19"/>
      <c r="AF966" s="15" t="s">
        <v>29</v>
      </c>
      <c r="AG966" s="15" t="s">
        <v>30</v>
      </c>
      <c r="AH966" s="15" t="s">
        <v>31</v>
      </c>
      <c r="AI966" s="19"/>
      <c r="AJ966" s="15" t="s">
        <v>29</v>
      </c>
      <c r="AK966" s="15" t="s">
        <v>30</v>
      </c>
      <c r="AL966" s="15" t="s">
        <v>31</v>
      </c>
      <c r="AM966" s="20"/>
      <c r="AN966" s="2"/>
      <c r="AO966" s="2"/>
      <c r="BF966" s="5"/>
    </row>
    <row r="967" spans="2:58" x14ac:dyDescent="0.15">
      <c r="B967" s="1"/>
      <c r="C967" s="1"/>
      <c r="D967" s="1"/>
      <c r="N967" s="1"/>
      <c r="O967" s="1"/>
      <c r="P967" s="1"/>
      <c r="Q967" s="1"/>
      <c r="R967" s="1"/>
      <c r="S967" s="1"/>
      <c r="T967" s="2"/>
      <c r="U967" s="47"/>
      <c r="W967" s="2"/>
      <c r="X967" s="2"/>
      <c r="Y967" s="439" t="s">
        <v>275</v>
      </c>
      <c r="Z967" s="440"/>
      <c r="AA967" s="54">
        <f>AB967+AC967+AD967</f>
        <v>67</v>
      </c>
      <c r="AB967" s="55">
        <v>67</v>
      </c>
      <c r="AC967" s="55">
        <v>0</v>
      </c>
      <c r="AD967" s="56">
        <v>0</v>
      </c>
      <c r="AE967" s="57">
        <f>AF967+AG967+AH967</f>
        <v>83</v>
      </c>
      <c r="AF967" s="55">
        <v>51</v>
      </c>
      <c r="AG967" s="55">
        <v>9</v>
      </c>
      <c r="AH967" s="55">
        <v>23</v>
      </c>
      <c r="AI967" s="81">
        <v>54</v>
      </c>
      <c r="AJ967" s="55">
        <v>53</v>
      </c>
      <c r="AK967" s="55">
        <v>0</v>
      </c>
      <c r="AL967" s="55">
        <f>AI967-AJ967-AK967</f>
        <v>1</v>
      </c>
      <c r="AM967" s="2"/>
      <c r="AN967" s="2"/>
      <c r="AO967" s="2"/>
      <c r="BF967" s="5"/>
    </row>
    <row r="968" spans="2:58" x14ac:dyDescent="0.15">
      <c r="B968" s="1"/>
      <c r="C968" s="1"/>
      <c r="D968" s="1"/>
      <c r="N968" s="1"/>
      <c r="O968" s="1"/>
      <c r="P968" s="1"/>
      <c r="Q968" s="1"/>
      <c r="R968" s="1"/>
      <c r="S968" s="1"/>
      <c r="T968" s="2"/>
      <c r="W968" s="2"/>
      <c r="X968" s="2"/>
      <c r="Y968" s="441"/>
      <c r="Z968" s="442"/>
      <c r="AA968" s="58">
        <f t="shared" ref="AA968:AL968" si="228">ROUND(AA967/(AA$967+AA$969+AA$971+AA$973+AA$975+AA$977),3)</f>
        <v>9.4E-2</v>
      </c>
      <c r="AB968" s="59">
        <f t="shared" si="228"/>
        <v>0.88200000000000001</v>
      </c>
      <c r="AC968" s="59">
        <f t="shared" si="228"/>
        <v>0</v>
      </c>
      <c r="AD968" s="60">
        <f t="shared" si="228"/>
        <v>0</v>
      </c>
      <c r="AE968" s="61">
        <f t="shared" si="228"/>
        <v>0.105</v>
      </c>
      <c r="AF968" s="59">
        <f t="shared" si="228"/>
        <v>0.77300000000000002</v>
      </c>
      <c r="AG968" s="59">
        <f t="shared" si="228"/>
        <v>3.5000000000000003E-2</v>
      </c>
      <c r="AH968" s="59">
        <f t="shared" si="228"/>
        <v>4.9000000000000002E-2</v>
      </c>
      <c r="AI968" s="61">
        <f t="shared" si="228"/>
        <v>7.0999999999999994E-2</v>
      </c>
      <c r="AJ968" s="59">
        <f t="shared" si="228"/>
        <v>0.80300000000000005</v>
      </c>
      <c r="AK968" s="59">
        <f t="shared" si="228"/>
        <v>0</v>
      </c>
      <c r="AL968" s="59">
        <f t="shared" si="228"/>
        <v>2E-3</v>
      </c>
      <c r="AM968" s="51"/>
      <c r="AN968" s="2"/>
      <c r="AO968" s="2"/>
      <c r="BF968" s="5"/>
    </row>
    <row r="969" spans="2:58" x14ac:dyDescent="0.15">
      <c r="B969" s="1"/>
      <c r="C969" s="1"/>
      <c r="D969" s="1"/>
      <c r="N969" s="1"/>
      <c r="O969" s="1"/>
      <c r="P969" s="1"/>
      <c r="Q969" s="1"/>
      <c r="R969" s="1"/>
      <c r="S969" s="1"/>
      <c r="T969" s="2"/>
      <c r="W969" s="2"/>
      <c r="X969" s="2"/>
      <c r="Y969" s="439" t="s">
        <v>276</v>
      </c>
      <c r="Z969" s="440"/>
      <c r="AA969" s="54">
        <f>AB969+AC969+AD969</f>
        <v>82</v>
      </c>
      <c r="AB969" s="55">
        <v>9</v>
      </c>
      <c r="AC969" s="55">
        <v>0</v>
      </c>
      <c r="AD969" s="56">
        <v>73</v>
      </c>
      <c r="AE969" s="57">
        <f>AF969+AG969+AH969</f>
        <v>70</v>
      </c>
      <c r="AF969" s="55">
        <v>10</v>
      </c>
      <c r="AG969" s="55">
        <v>0</v>
      </c>
      <c r="AH969" s="55">
        <v>60</v>
      </c>
      <c r="AI969" s="81">
        <v>66</v>
      </c>
      <c r="AJ969" s="55">
        <v>7</v>
      </c>
      <c r="AK969" s="55">
        <v>0</v>
      </c>
      <c r="AL969" s="55">
        <f>AI969-AJ969-AK969</f>
        <v>59</v>
      </c>
      <c r="AM969" s="2"/>
      <c r="AN969" s="2"/>
      <c r="AO969" s="2"/>
      <c r="BF969" s="5"/>
    </row>
    <row r="970" spans="2:58" x14ac:dyDescent="0.15">
      <c r="B970" s="1"/>
      <c r="C970" s="1"/>
      <c r="D970" s="1"/>
      <c r="N970" s="1"/>
      <c r="O970" s="1"/>
      <c r="P970" s="1"/>
      <c r="Q970" s="1"/>
      <c r="R970" s="1"/>
      <c r="S970" s="1"/>
      <c r="T970" s="2"/>
      <c r="W970" s="2"/>
      <c r="X970" s="2"/>
      <c r="Y970" s="441"/>
      <c r="Z970" s="442"/>
      <c r="AA970" s="58">
        <f>ROUND(AA969/(AA$967+AA$969+AA$971+AA$973+AA$975+AA$977),3)</f>
        <v>0.115</v>
      </c>
      <c r="AB970" s="59">
        <f>ROUND(AB969/(AB$967+AB$969+AB$971+AB$973+AB$975+AB$977),3)</f>
        <v>0.11799999999999999</v>
      </c>
      <c r="AC970" s="59">
        <f>ROUND(AC969/(AC$967+AC$969+AC$971+AC$973+AC$975+AC$977),3)</f>
        <v>0</v>
      </c>
      <c r="AD970" s="60">
        <f>ROUND(AD969/(AD$967+AD$969+AD$971+AD$973+AD$975+AD$977),3)</f>
        <v>0.17499999999999999</v>
      </c>
      <c r="AE970" s="61">
        <f>ROUND(AE969/(AE$967+AE$969+AE$971+AE$973+AE$975+AE$977),3)</f>
        <v>8.8999999999999996E-2</v>
      </c>
      <c r="AF970" s="59">
        <f>ROUND(AF969/(AF$967+AF$969+AF$971+AF$973+AF$975+AF$977),3)-0.001</f>
        <v>0.151</v>
      </c>
      <c r="AG970" s="59">
        <f t="shared" ref="AG970:AL970" si="229">ROUND(AG969/(AG$967+AG$969+AG$971+AG$973+AG$975+AG$977),3)</f>
        <v>0</v>
      </c>
      <c r="AH970" s="59">
        <f t="shared" si="229"/>
        <v>0.129</v>
      </c>
      <c r="AI970" s="61">
        <f t="shared" si="229"/>
        <v>8.6999999999999994E-2</v>
      </c>
      <c r="AJ970" s="59">
        <f t="shared" si="229"/>
        <v>0.106</v>
      </c>
      <c r="AK970" s="59">
        <f t="shared" si="229"/>
        <v>0</v>
      </c>
      <c r="AL970" s="59">
        <f t="shared" si="229"/>
        <v>0.13800000000000001</v>
      </c>
      <c r="AM970" s="51"/>
      <c r="AN970" s="2"/>
      <c r="AO970" s="2"/>
      <c r="BF970" s="5"/>
    </row>
    <row r="971" spans="2:58" x14ac:dyDescent="0.15">
      <c r="B971" s="1"/>
      <c r="C971" s="1"/>
      <c r="D971" s="1"/>
      <c r="N971" s="1"/>
      <c r="O971" s="1"/>
      <c r="P971" s="1"/>
      <c r="Q971" s="1"/>
      <c r="R971" s="1"/>
      <c r="S971" s="1"/>
      <c r="W971" s="2"/>
      <c r="X971" s="2"/>
      <c r="Y971" s="439" t="s">
        <v>277</v>
      </c>
      <c r="Z971" s="440"/>
      <c r="AA971" s="54">
        <f>AB971+AC971+AD971</f>
        <v>199</v>
      </c>
      <c r="AB971" s="55">
        <v>0</v>
      </c>
      <c r="AC971" s="55">
        <v>34</v>
      </c>
      <c r="AD971" s="56">
        <v>165</v>
      </c>
      <c r="AE971" s="57">
        <f>AF971+AG971+AH971</f>
        <v>175</v>
      </c>
      <c r="AF971" s="55">
        <v>0</v>
      </c>
      <c r="AG971" s="55">
        <v>12</v>
      </c>
      <c r="AH971" s="55">
        <v>163</v>
      </c>
      <c r="AI971" s="81">
        <v>158</v>
      </c>
      <c r="AJ971" s="55">
        <v>0</v>
      </c>
      <c r="AK971" s="55">
        <v>0</v>
      </c>
      <c r="AL971" s="55">
        <f>AI971-AJ971-AK971</f>
        <v>158</v>
      </c>
      <c r="AM971" s="2"/>
      <c r="AN971" s="2"/>
      <c r="AO971" s="2"/>
      <c r="BF971" s="5"/>
    </row>
    <row r="972" spans="2:58" x14ac:dyDescent="0.15">
      <c r="B972" s="1"/>
      <c r="C972" s="1"/>
      <c r="D972" s="1"/>
      <c r="N972" s="1"/>
      <c r="O972" s="1"/>
      <c r="P972" s="1"/>
      <c r="Q972" s="1"/>
      <c r="R972" s="1"/>
      <c r="S972" s="1"/>
      <c r="W972" s="2"/>
      <c r="X972" s="2"/>
      <c r="Y972" s="441"/>
      <c r="Z972" s="442"/>
      <c r="AA972" s="58">
        <f t="shared" ref="AA972:AL972" si="230">ROUND(AA971/(AA$967+AA$969+AA$971+AA$973+AA$975+AA$977),3)</f>
        <v>0.28000000000000003</v>
      </c>
      <c r="AB972" s="59">
        <f t="shared" si="230"/>
        <v>0</v>
      </c>
      <c r="AC972" s="59">
        <f t="shared" si="230"/>
        <v>0.156</v>
      </c>
      <c r="AD972" s="60">
        <f t="shared" si="230"/>
        <v>0.39600000000000002</v>
      </c>
      <c r="AE972" s="61">
        <f t="shared" si="230"/>
        <v>0.222</v>
      </c>
      <c r="AF972" s="59">
        <f t="shared" si="230"/>
        <v>0</v>
      </c>
      <c r="AG972" s="59">
        <f t="shared" si="230"/>
        <v>4.7E-2</v>
      </c>
      <c r="AH972" s="59">
        <f t="shared" si="230"/>
        <v>0.35099999999999998</v>
      </c>
      <c r="AI972" s="61">
        <f t="shared" si="230"/>
        <v>0.20899999999999999</v>
      </c>
      <c r="AJ972" s="59">
        <f t="shared" si="230"/>
        <v>0</v>
      </c>
      <c r="AK972" s="59">
        <f t="shared" si="230"/>
        <v>0</v>
      </c>
      <c r="AL972" s="59">
        <f t="shared" si="230"/>
        <v>0.36899999999999999</v>
      </c>
      <c r="AM972" s="51"/>
      <c r="AN972" s="2"/>
      <c r="AO972" s="2"/>
      <c r="BF972" s="5"/>
    </row>
    <row r="973" spans="2:58" x14ac:dyDescent="0.15">
      <c r="B973" s="1"/>
      <c r="C973" s="1"/>
      <c r="D973" s="1"/>
      <c r="N973" s="1"/>
      <c r="O973" s="1"/>
      <c r="P973" s="1"/>
      <c r="Q973" s="1"/>
      <c r="R973" s="1"/>
      <c r="S973" s="1"/>
      <c r="W973" s="2"/>
      <c r="X973" s="2"/>
      <c r="Y973" s="439" t="s">
        <v>278</v>
      </c>
      <c r="Z973" s="440"/>
      <c r="AA973" s="54">
        <f>AB973+AC973+AD973</f>
        <v>251</v>
      </c>
      <c r="AB973" s="55">
        <v>0</v>
      </c>
      <c r="AC973" s="55">
        <v>117</v>
      </c>
      <c r="AD973" s="56">
        <v>134</v>
      </c>
      <c r="AE973" s="57">
        <f>AF973+AG973+AH973</f>
        <v>246</v>
      </c>
      <c r="AF973" s="55">
        <v>0</v>
      </c>
      <c r="AG973" s="55">
        <v>151</v>
      </c>
      <c r="AH973" s="55">
        <v>95</v>
      </c>
      <c r="AI973" s="81">
        <v>289</v>
      </c>
      <c r="AJ973" s="55">
        <v>0</v>
      </c>
      <c r="AK973" s="55">
        <v>178</v>
      </c>
      <c r="AL973" s="55">
        <f>AI973-AJ973-AK973</f>
        <v>111</v>
      </c>
      <c r="AM973" s="2"/>
      <c r="AN973" s="2"/>
      <c r="AO973" s="2"/>
      <c r="BF973" s="5"/>
    </row>
    <row r="974" spans="2:58" x14ac:dyDescent="0.15">
      <c r="B974" s="1"/>
      <c r="C974" s="1"/>
      <c r="D974" s="1"/>
      <c r="N974" s="1"/>
      <c r="O974" s="1"/>
      <c r="P974" s="1"/>
      <c r="Q974" s="1"/>
      <c r="R974" s="1"/>
      <c r="S974" s="1"/>
      <c r="T974" s="2"/>
      <c r="W974" s="2"/>
      <c r="X974" s="2"/>
      <c r="Y974" s="441"/>
      <c r="Z974" s="442"/>
      <c r="AA974" s="58">
        <f t="shared" ref="AA974:AL974" si="231">ROUND(AA973/(AA$967+AA$969+AA$971+AA$973+AA$975+AA$977),3)</f>
        <v>0.35299999999999998</v>
      </c>
      <c r="AB974" s="59">
        <f t="shared" si="231"/>
        <v>0</v>
      </c>
      <c r="AC974" s="59">
        <f t="shared" si="231"/>
        <v>0.53700000000000003</v>
      </c>
      <c r="AD974" s="60">
        <f t="shared" si="231"/>
        <v>0.32100000000000001</v>
      </c>
      <c r="AE974" s="61">
        <f t="shared" si="231"/>
        <v>0.313</v>
      </c>
      <c r="AF974" s="59">
        <f t="shared" si="231"/>
        <v>0</v>
      </c>
      <c r="AG974" s="59">
        <f t="shared" si="231"/>
        <v>0.59</v>
      </c>
      <c r="AH974" s="59">
        <f t="shared" si="231"/>
        <v>0.20399999999999999</v>
      </c>
      <c r="AI974" s="61">
        <f t="shared" si="231"/>
        <v>0.38200000000000001</v>
      </c>
      <c r="AJ974" s="59">
        <f t="shared" si="231"/>
        <v>0</v>
      </c>
      <c r="AK974" s="59">
        <f t="shared" si="231"/>
        <v>0.67700000000000005</v>
      </c>
      <c r="AL974" s="59">
        <f t="shared" si="231"/>
        <v>0.25900000000000001</v>
      </c>
      <c r="AM974" s="51"/>
      <c r="AN974" s="2"/>
      <c r="AO974" s="2"/>
      <c r="BF974" s="5"/>
    </row>
    <row r="975" spans="2:58" x14ac:dyDescent="0.15">
      <c r="B975" s="1"/>
      <c r="C975" s="1"/>
      <c r="D975" s="1"/>
      <c r="N975" s="1"/>
      <c r="O975" s="1"/>
      <c r="P975" s="1"/>
      <c r="Q975" s="1"/>
      <c r="R975" s="1"/>
      <c r="S975" s="1"/>
      <c r="T975" s="2"/>
      <c r="W975" s="2"/>
      <c r="X975" s="2"/>
      <c r="Y975" s="439" t="s">
        <v>279</v>
      </c>
      <c r="Z975" s="440"/>
      <c r="AA975" s="54">
        <f>AB975+AC975+AD975</f>
        <v>112</v>
      </c>
      <c r="AB975" s="55">
        <v>0</v>
      </c>
      <c r="AC975" s="55">
        <v>67</v>
      </c>
      <c r="AD975" s="56">
        <v>45</v>
      </c>
      <c r="AE975" s="57">
        <f>AF975+AG975+AH975</f>
        <v>115</v>
      </c>
      <c r="AF975" s="55">
        <v>0</v>
      </c>
      <c r="AG975" s="55">
        <v>63</v>
      </c>
      <c r="AH975" s="55">
        <v>52</v>
      </c>
      <c r="AI975" s="81">
        <v>184</v>
      </c>
      <c r="AJ975" s="55">
        <v>0</v>
      </c>
      <c r="AK975" s="55">
        <v>85</v>
      </c>
      <c r="AL975" s="55">
        <f>AI975-AJ975-AK975</f>
        <v>99</v>
      </c>
      <c r="AM975" s="2"/>
      <c r="AN975" s="2"/>
      <c r="AO975" s="2"/>
      <c r="BF975" s="5"/>
    </row>
    <row r="976" spans="2:58" x14ac:dyDescent="0.15">
      <c r="B976" s="1"/>
      <c r="C976" s="1"/>
      <c r="D976" s="1"/>
      <c r="N976" s="1"/>
      <c r="O976" s="1"/>
      <c r="P976" s="1"/>
      <c r="Q976" s="1"/>
      <c r="R976" s="1"/>
      <c r="S976" s="1"/>
      <c r="T976" s="2"/>
      <c r="W976" s="2"/>
      <c r="X976" s="2"/>
      <c r="Y976" s="441"/>
      <c r="Z976" s="442"/>
      <c r="AA976" s="58">
        <f t="shared" ref="AA976:AL976" si="232">ROUND(AA975/(AA$967+AA$969+AA$971+AA$973+AA$975+AA$977),3)</f>
        <v>0.158</v>
      </c>
      <c r="AB976" s="59">
        <f t="shared" si="232"/>
        <v>0</v>
      </c>
      <c r="AC976" s="59">
        <f t="shared" si="232"/>
        <v>0.307</v>
      </c>
      <c r="AD976" s="60">
        <f t="shared" si="232"/>
        <v>0.108</v>
      </c>
      <c r="AE976" s="61">
        <f t="shared" si="232"/>
        <v>0.14599999999999999</v>
      </c>
      <c r="AF976" s="59">
        <f t="shared" si="232"/>
        <v>0</v>
      </c>
      <c r="AG976" s="59">
        <f t="shared" si="232"/>
        <v>0.246</v>
      </c>
      <c r="AH976" s="59">
        <f t="shared" si="232"/>
        <v>0.112</v>
      </c>
      <c r="AI976" s="61">
        <f t="shared" si="232"/>
        <v>0.24299999999999999</v>
      </c>
      <c r="AJ976" s="59">
        <f t="shared" si="232"/>
        <v>0</v>
      </c>
      <c r="AK976" s="59">
        <f t="shared" si="232"/>
        <v>0.32300000000000001</v>
      </c>
      <c r="AL976" s="59">
        <f t="shared" si="232"/>
        <v>0.23100000000000001</v>
      </c>
      <c r="AM976" s="51"/>
      <c r="AN976" s="2"/>
      <c r="AO976" s="2"/>
      <c r="BF976" s="5"/>
    </row>
    <row r="977" spans="2:58" x14ac:dyDescent="0.15">
      <c r="B977" s="1"/>
      <c r="C977" s="1"/>
      <c r="D977" s="1"/>
      <c r="N977" s="1"/>
      <c r="O977" s="1"/>
      <c r="P977" s="1"/>
      <c r="Q977" s="1"/>
      <c r="R977" s="1"/>
      <c r="S977" s="1"/>
      <c r="T977" s="2"/>
      <c r="V977" s="2"/>
      <c r="W977" s="2"/>
      <c r="X977" s="2"/>
      <c r="Y977" s="439" t="s">
        <v>57</v>
      </c>
      <c r="Z977" s="440"/>
      <c r="AA977" s="54">
        <f>AB977+AC977+AD977</f>
        <v>0</v>
      </c>
      <c r="AB977" s="55">
        <v>0</v>
      </c>
      <c r="AC977" s="55">
        <v>0</v>
      </c>
      <c r="AD977" s="56">
        <v>0</v>
      </c>
      <c r="AE977" s="57">
        <f>AF977+AG977+AH977</f>
        <v>98</v>
      </c>
      <c r="AF977" s="55">
        <v>5</v>
      </c>
      <c r="AG977" s="55">
        <v>21</v>
      </c>
      <c r="AH977" s="55">
        <v>72</v>
      </c>
      <c r="AI977" s="81">
        <v>6</v>
      </c>
      <c r="AJ977" s="55">
        <v>6</v>
      </c>
      <c r="AK977" s="55">
        <v>0</v>
      </c>
      <c r="AL977" s="55">
        <f>AI977-AJ977-AK977</f>
        <v>0</v>
      </c>
      <c r="AM977" s="2"/>
      <c r="AN977" s="2"/>
      <c r="AO977" s="2"/>
      <c r="BF977" s="5"/>
    </row>
    <row r="978" spans="2:58" x14ac:dyDescent="0.15">
      <c r="B978" s="1"/>
      <c r="C978" s="1"/>
      <c r="D978" s="1"/>
      <c r="N978" s="1"/>
      <c r="O978" s="1"/>
      <c r="P978" s="1"/>
      <c r="Q978" s="1"/>
      <c r="R978" s="1"/>
      <c r="S978" s="1"/>
      <c r="T978" s="2"/>
      <c r="V978" s="2"/>
      <c r="W978" s="2"/>
      <c r="X978" s="2"/>
      <c r="Y978" s="441"/>
      <c r="Z978" s="442"/>
      <c r="AA978" s="58">
        <f t="shared" ref="AA978:AL978" si="233">ROUND(AA977/(AA$967+AA$969+AA$971+AA$973+AA$975+AA$977),3)</f>
        <v>0</v>
      </c>
      <c r="AB978" s="59">
        <f t="shared" si="233"/>
        <v>0</v>
      </c>
      <c r="AC978" s="59">
        <f t="shared" si="233"/>
        <v>0</v>
      </c>
      <c r="AD978" s="60">
        <f t="shared" si="233"/>
        <v>0</v>
      </c>
      <c r="AE978" s="61">
        <f t="shared" si="233"/>
        <v>0.125</v>
      </c>
      <c r="AF978" s="59">
        <f t="shared" si="233"/>
        <v>7.5999999999999998E-2</v>
      </c>
      <c r="AG978" s="59">
        <f t="shared" si="233"/>
        <v>8.2000000000000003E-2</v>
      </c>
      <c r="AH978" s="59">
        <f t="shared" si="233"/>
        <v>0.155</v>
      </c>
      <c r="AI978" s="61">
        <f t="shared" si="233"/>
        <v>8.0000000000000002E-3</v>
      </c>
      <c r="AJ978" s="59">
        <f t="shared" si="233"/>
        <v>9.0999999999999998E-2</v>
      </c>
      <c r="AK978" s="59">
        <f t="shared" si="233"/>
        <v>0</v>
      </c>
      <c r="AL978" s="59">
        <f t="shared" si="233"/>
        <v>0</v>
      </c>
      <c r="AM978" s="51"/>
      <c r="AN978" s="2"/>
      <c r="AO978" s="2"/>
      <c r="BF978" s="5"/>
    </row>
    <row r="979" spans="2:58" x14ac:dyDescent="0.15">
      <c r="B979" s="1"/>
      <c r="C979" s="1"/>
      <c r="D979" s="1"/>
      <c r="N979" s="1"/>
      <c r="O979" s="1"/>
      <c r="P979" s="1"/>
      <c r="Q979" s="1"/>
      <c r="R979" s="1"/>
      <c r="S979" s="1"/>
      <c r="T979" s="2"/>
      <c r="V979" s="2"/>
      <c r="W979" s="2"/>
      <c r="X979" s="2"/>
      <c r="Y979" s="449" t="s">
        <v>53</v>
      </c>
      <c r="Z979" s="426"/>
      <c r="AA979" s="116">
        <f t="shared" ref="AA979:AL980" si="234">AA967+AA969+AA971+AA973+AA975+AA977</f>
        <v>711</v>
      </c>
      <c r="AB979" s="55">
        <f t="shared" si="234"/>
        <v>76</v>
      </c>
      <c r="AC979" s="63">
        <f t="shared" si="234"/>
        <v>218</v>
      </c>
      <c r="AD979" s="56">
        <f t="shared" si="234"/>
        <v>417</v>
      </c>
      <c r="AE979" s="87">
        <f t="shared" si="234"/>
        <v>787</v>
      </c>
      <c r="AF979" s="80">
        <f t="shared" si="234"/>
        <v>66</v>
      </c>
      <c r="AG979" s="87">
        <f t="shared" si="234"/>
        <v>256</v>
      </c>
      <c r="AH979" s="80">
        <f t="shared" si="234"/>
        <v>465</v>
      </c>
      <c r="AI979" s="87">
        <f t="shared" si="234"/>
        <v>757</v>
      </c>
      <c r="AJ979" s="80">
        <f t="shared" si="234"/>
        <v>66</v>
      </c>
      <c r="AK979" s="87">
        <f t="shared" si="234"/>
        <v>263</v>
      </c>
      <c r="AL979" s="80">
        <f t="shared" si="234"/>
        <v>428</v>
      </c>
      <c r="AM979" s="2"/>
      <c r="AN979" s="2"/>
      <c r="AO979" s="2"/>
      <c r="BF979" s="5"/>
    </row>
    <row r="980" spans="2:58" ht="14.25" thickBot="1" x14ac:dyDescent="0.2">
      <c r="B980" s="1"/>
      <c r="C980" s="1"/>
      <c r="D980" s="1"/>
      <c r="N980" s="1"/>
      <c r="O980" s="1"/>
      <c r="P980" s="1"/>
      <c r="Q980" s="1"/>
      <c r="R980" s="1"/>
      <c r="S980" s="1"/>
      <c r="T980" s="2"/>
      <c r="V980" s="2"/>
      <c r="W980" s="2"/>
      <c r="X980" s="2"/>
      <c r="Y980" s="449"/>
      <c r="Z980" s="426"/>
      <c r="AA980" s="155">
        <f t="shared" si="234"/>
        <v>1</v>
      </c>
      <c r="AB980" s="156">
        <f t="shared" si="234"/>
        <v>1</v>
      </c>
      <c r="AC980" s="157">
        <f t="shared" si="234"/>
        <v>1</v>
      </c>
      <c r="AD980" s="158">
        <f t="shared" si="234"/>
        <v>0.99999999999999989</v>
      </c>
      <c r="AE980" s="159">
        <f t="shared" si="234"/>
        <v>1</v>
      </c>
      <c r="AF980" s="59">
        <f t="shared" si="234"/>
        <v>1</v>
      </c>
      <c r="AG980" s="159">
        <f t="shared" si="234"/>
        <v>0.99999999999999989</v>
      </c>
      <c r="AH980" s="59">
        <f t="shared" si="234"/>
        <v>0.99999999999999989</v>
      </c>
      <c r="AI980" s="159">
        <f t="shared" si="234"/>
        <v>1</v>
      </c>
      <c r="AJ980" s="59">
        <f t="shared" si="234"/>
        <v>1</v>
      </c>
      <c r="AK980" s="159">
        <f t="shared" si="234"/>
        <v>1</v>
      </c>
      <c r="AL980" s="59">
        <f>AL968+AL970+AL972+AL974+AL976+AL978+0.1%</f>
        <v>1</v>
      </c>
      <c r="AM980" s="72"/>
      <c r="AN980" s="46" t="s">
        <v>122</v>
      </c>
      <c r="AO980" s="2"/>
      <c r="BF980" s="5"/>
    </row>
    <row r="981" spans="2:58" x14ac:dyDescent="0.15">
      <c r="B981" s="1"/>
      <c r="C981" s="1"/>
      <c r="D981" s="1"/>
      <c r="N981" s="1"/>
      <c r="O981" s="1"/>
      <c r="P981" s="1"/>
      <c r="Q981" s="1"/>
      <c r="R981" s="1"/>
      <c r="S981" s="1"/>
      <c r="T981" s="2"/>
      <c r="U981" s="13"/>
      <c r="V981" s="2"/>
      <c r="W981" s="2"/>
      <c r="X981" s="2"/>
      <c r="Y981" s="2"/>
      <c r="Z981" s="2"/>
      <c r="AA981" s="2"/>
      <c r="AB981" s="2"/>
      <c r="AC981" s="2"/>
      <c r="AD981" s="2"/>
      <c r="AE981" s="52"/>
      <c r="AF981" s="2"/>
      <c r="AG981" s="2"/>
      <c r="AH981" s="2"/>
      <c r="AI981" s="52"/>
      <c r="AJ981" s="2"/>
      <c r="AK981" s="2"/>
      <c r="AL981" s="2"/>
      <c r="AN981" s="1"/>
      <c r="BE981" s="5"/>
    </row>
    <row r="982" spans="2:58" x14ac:dyDescent="0.15">
      <c r="B982" s="450" t="s">
        <v>280</v>
      </c>
      <c r="C982" s="450"/>
      <c r="D982" s="450"/>
      <c r="E982" s="450"/>
      <c r="F982" s="450"/>
      <c r="G982" s="450"/>
      <c r="H982" s="450"/>
      <c r="I982" s="450"/>
      <c r="J982" s="450"/>
      <c r="K982" s="450"/>
      <c r="L982" s="450"/>
      <c r="M982" s="450"/>
      <c r="N982" s="450"/>
      <c r="O982" s="450"/>
      <c r="P982" s="450"/>
      <c r="Q982" s="450"/>
      <c r="T982" s="2"/>
      <c r="U982" s="13"/>
    </row>
    <row r="983" spans="2:58" x14ac:dyDescent="0.15">
      <c r="K983" s="52"/>
      <c r="O983" s="52"/>
      <c r="T983" s="2"/>
      <c r="U983" s="13"/>
    </row>
    <row r="984" spans="2:58" ht="14.25" thickBot="1" x14ac:dyDescent="0.2">
      <c r="B984" s="10" t="s">
        <v>281</v>
      </c>
      <c r="G984" s="11" t="s">
        <v>282</v>
      </c>
      <c r="K984" s="52"/>
      <c r="O984" s="52"/>
      <c r="T984" s="2"/>
      <c r="U984" s="13"/>
    </row>
    <row r="985" spans="2:58" x14ac:dyDescent="0.15">
      <c r="D985" s="399"/>
      <c r="E985" s="386"/>
      <c r="F985" s="444" t="s">
        <v>273</v>
      </c>
      <c r="G985" s="384"/>
      <c r="H985" s="384"/>
      <c r="I985" s="385"/>
      <c r="J985" s="386" t="s">
        <v>274</v>
      </c>
      <c r="K985" s="451"/>
      <c r="L985" s="451"/>
      <c r="M985" s="452"/>
      <c r="N985" s="386" t="s">
        <v>274</v>
      </c>
      <c r="O985" s="451"/>
      <c r="P985" s="451"/>
      <c r="Q985" s="452"/>
      <c r="R985" s="12"/>
      <c r="S985" s="12"/>
      <c r="T985" s="2"/>
      <c r="U985" s="13"/>
      <c r="V985" s="2"/>
      <c r="W985" s="2"/>
    </row>
    <row r="986" spans="2:58" x14ac:dyDescent="0.15">
      <c r="D986" s="400"/>
      <c r="E986" s="443"/>
      <c r="F986" s="14"/>
      <c r="G986" s="15" t="s">
        <v>29</v>
      </c>
      <c r="H986" s="15" t="s">
        <v>30</v>
      </c>
      <c r="I986" s="53" t="s">
        <v>31</v>
      </c>
      <c r="J986" s="19"/>
      <c r="K986" s="15" t="s">
        <v>29</v>
      </c>
      <c r="L986" s="15" t="s">
        <v>30</v>
      </c>
      <c r="M986" s="15" t="s">
        <v>31</v>
      </c>
      <c r="N986" s="19"/>
      <c r="O986" s="15" t="s">
        <v>29</v>
      </c>
      <c r="P986" s="15" t="s">
        <v>30</v>
      </c>
      <c r="Q986" s="15" t="s">
        <v>31</v>
      </c>
      <c r="R986" s="20"/>
      <c r="S986" s="20"/>
      <c r="T986" s="2"/>
      <c r="V986" s="2"/>
      <c r="W986" s="2"/>
    </row>
    <row r="987" spans="2:58" x14ac:dyDescent="0.15">
      <c r="D987" s="445" t="s">
        <v>283</v>
      </c>
      <c r="E987" s="446"/>
      <c r="F987" s="54">
        <f>G987+H987+I987</f>
        <v>0</v>
      </c>
      <c r="G987" s="55">
        <v>0</v>
      </c>
      <c r="H987" s="55">
        <v>0</v>
      </c>
      <c r="I987" s="56">
        <v>0</v>
      </c>
      <c r="J987" s="81">
        <v>159</v>
      </c>
      <c r="K987" s="55">
        <v>2</v>
      </c>
      <c r="L987" s="55">
        <v>79</v>
      </c>
      <c r="M987" s="55">
        <f>J987-K987-L987</f>
        <v>78</v>
      </c>
      <c r="N987" s="81">
        <v>159</v>
      </c>
      <c r="O987" s="55">
        <v>2</v>
      </c>
      <c r="P987" s="55">
        <v>79</v>
      </c>
      <c r="Q987" s="55">
        <f>N987-O987-P987</f>
        <v>78</v>
      </c>
      <c r="T987" s="2"/>
      <c r="V987" s="2"/>
      <c r="W987" s="2"/>
    </row>
    <row r="988" spans="2:58" x14ac:dyDescent="0.15">
      <c r="D988" s="447"/>
      <c r="E988" s="448"/>
      <c r="F988" s="58" t="e">
        <f t="shared" ref="F988:Q988" si="235">ROUND(F987/(F$987+F$989+F$991+F$993+F$995),3)</f>
        <v>#DIV/0!</v>
      </c>
      <c r="G988" s="59" t="e">
        <f t="shared" si="235"/>
        <v>#DIV/0!</v>
      </c>
      <c r="H988" s="59" t="e">
        <f t="shared" si="235"/>
        <v>#DIV/0!</v>
      </c>
      <c r="I988" s="60" t="e">
        <f t="shared" si="235"/>
        <v>#DIV/0!</v>
      </c>
      <c r="J988" s="61">
        <f t="shared" si="235"/>
        <v>0.21</v>
      </c>
      <c r="K988" s="59">
        <f t="shared" si="235"/>
        <v>0.03</v>
      </c>
      <c r="L988" s="59">
        <f t="shared" si="235"/>
        <v>0.3</v>
      </c>
      <c r="M988" s="59">
        <f t="shared" si="235"/>
        <v>0.182</v>
      </c>
      <c r="N988" s="61">
        <f t="shared" si="235"/>
        <v>0.21</v>
      </c>
      <c r="O988" s="59">
        <f t="shared" si="235"/>
        <v>0.03</v>
      </c>
      <c r="P988" s="59">
        <f t="shared" si="235"/>
        <v>0.3</v>
      </c>
      <c r="Q988" s="59">
        <f t="shared" si="235"/>
        <v>0.182</v>
      </c>
      <c r="R988" s="51"/>
      <c r="S988" s="51"/>
      <c r="T988" s="46"/>
      <c r="V988" s="2"/>
      <c r="W988" s="2"/>
    </row>
    <row r="989" spans="2:58" x14ac:dyDescent="0.15">
      <c r="D989" s="445" t="s">
        <v>284</v>
      </c>
      <c r="E989" s="446"/>
      <c r="F989" s="54">
        <f>G989+H989+I989</f>
        <v>0</v>
      </c>
      <c r="G989" s="55">
        <v>0</v>
      </c>
      <c r="H989" s="55">
        <v>0</v>
      </c>
      <c r="I989" s="56">
        <v>0</v>
      </c>
      <c r="J989" s="81">
        <v>344</v>
      </c>
      <c r="K989" s="55">
        <v>1</v>
      </c>
      <c r="L989" s="55">
        <v>114</v>
      </c>
      <c r="M989" s="55">
        <f>J989-K989-L989</f>
        <v>229</v>
      </c>
      <c r="N989" s="81">
        <v>344</v>
      </c>
      <c r="O989" s="55">
        <v>1</v>
      </c>
      <c r="P989" s="55">
        <v>114</v>
      </c>
      <c r="Q989" s="55">
        <f>N989-O989-P989</f>
        <v>229</v>
      </c>
      <c r="U989" s="13"/>
      <c r="V989" s="2"/>
      <c r="W989" s="2"/>
    </row>
    <row r="990" spans="2:58" x14ac:dyDescent="0.15">
      <c r="D990" s="447"/>
      <c r="E990" s="448"/>
      <c r="F990" s="58" t="e">
        <f t="shared" ref="F990:Q990" si="236">ROUND(F989/(F$987+F$989+F$991+F$993+F$995),3)</f>
        <v>#DIV/0!</v>
      </c>
      <c r="G990" s="59" t="e">
        <f t="shared" si="236"/>
        <v>#DIV/0!</v>
      </c>
      <c r="H990" s="59" t="e">
        <f t="shared" si="236"/>
        <v>#DIV/0!</v>
      </c>
      <c r="I990" s="60" t="e">
        <f t="shared" si="236"/>
        <v>#DIV/0!</v>
      </c>
      <c r="J990" s="61">
        <f t="shared" si="236"/>
        <v>0.45400000000000001</v>
      </c>
      <c r="K990" s="59">
        <f t="shared" si="236"/>
        <v>1.4999999999999999E-2</v>
      </c>
      <c r="L990" s="59">
        <f t="shared" si="236"/>
        <v>0.433</v>
      </c>
      <c r="M990" s="59">
        <f t="shared" si="236"/>
        <v>0.53500000000000003</v>
      </c>
      <c r="N990" s="61">
        <f t="shared" si="236"/>
        <v>0.45400000000000001</v>
      </c>
      <c r="O990" s="59">
        <f t="shared" si="236"/>
        <v>1.4999999999999999E-2</v>
      </c>
      <c r="P990" s="59">
        <f t="shared" si="236"/>
        <v>0.433</v>
      </c>
      <c r="Q990" s="59">
        <f t="shared" si="236"/>
        <v>0.53500000000000003</v>
      </c>
      <c r="R990" s="51"/>
      <c r="S990" s="51"/>
      <c r="U990" s="13"/>
      <c r="V990" s="2"/>
      <c r="W990" s="2"/>
    </row>
    <row r="991" spans="2:58" x14ac:dyDescent="0.15">
      <c r="D991" s="445" t="s">
        <v>285</v>
      </c>
      <c r="E991" s="446"/>
      <c r="F991" s="54">
        <f>G991+H991+I991</f>
        <v>0</v>
      </c>
      <c r="G991" s="55">
        <v>0</v>
      </c>
      <c r="H991" s="55">
        <v>0</v>
      </c>
      <c r="I991" s="56">
        <v>0</v>
      </c>
      <c r="J991" s="81">
        <v>83</v>
      </c>
      <c r="K991" s="55">
        <v>20</v>
      </c>
      <c r="L991" s="55">
        <v>16</v>
      </c>
      <c r="M991" s="55">
        <f>J991-K991-L991</f>
        <v>47</v>
      </c>
      <c r="N991" s="81">
        <v>83</v>
      </c>
      <c r="O991" s="55">
        <v>20</v>
      </c>
      <c r="P991" s="55">
        <v>16</v>
      </c>
      <c r="Q991" s="55">
        <f>N991-O991-P991</f>
        <v>47</v>
      </c>
      <c r="U991" s="13"/>
      <c r="V991" s="2"/>
      <c r="W991" s="2"/>
    </row>
    <row r="992" spans="2:58" x14ac:dyDescent="0.15">
      <c r="D992" s="447"/>
      <c r="E992" s="448"/>
      <c r="F992" s="58" t="e">
        <f t="shared" ref="F992:Q992" si="237">ROUND(F991/(F$987+F$989+F$991+F$993+F$995),3)</f>
        <v>#DIV/0!</v>
      </c>
      <c r="G992" s="59" t="e">
        <f t="shared" si="237"/>
        <v>#DIV/0!</v>
      </c>
      <c r="H992" s="59" t="e">
        <f t="shared" si="237"/>
        <v>#DIV/0!</v>
      </c>
      <c r="I992" s="60" t="e">
        <f t="shared" si="237"/>
        <v>#DIV/0!</v>
      </c>
      <c r="J992" s="61">
        <f t="shared" si="237"/>
        <v>0.11</v>
      </c>
      <c r="K992" s="59">
        <f t="shared" si="237"/>
        <v>0.30299999999999999</v>
      </c>
      <c r="L992" s="59">
        <f t="shared" si="237"/>
        <v>6.0999999999999999E-2</v>
      </c>
      <c r="M992" s="59">
        <f t="shared" si="237"/>
        <v>0.11</v>
      </c>
      <c r="N992" s="61">
        <f t="shared" si="237"/>
        <v>0.11</v>
      </c>
      <c r="O992" s="59">
        <f t="shared" si="237"/>
        <v>0.30299999999999999</v>
      </c>
      <c r="P992" s="59">
        <f t="shared" si="237"/>
        <v>6.0999999999999999E-2</v>
      </c>
      <c r="Q992" s="59">
        <f t="shared" si="237"/>
        <v>0.11</v>
      </c>
      <c r="R992" s="51"/>
      <c r="S992" s="51"/>
      <c r="U992" s="13"/>
      <c r="V992" s="2"/>
      <c r="W992" s="2"/>
    </row>
    <row r="993" spans="2:23" x14ac:dyDescent="0.15">
      <c r="D993" s="445" t="s">
        <v>286</v>
      </c>
      <c r="E993" s="446"/>
      <c r="F993" s="54">
        <f>G993+H993+I993</f>
        <v>0</v>
      </c>
      <c r="G993" s="55">
        <v>0</v>
      </c>
      <c r="H993" s="55">
        <v>0</v>
      </c>
      <c r="I993" s="56">
        <v>0</v>
      </c>
      <c r="J993" s="81">
        <v>102</v>
      </c>
      <c r="K993" s="55">
        <v>38</v>
      </c>
      <c r="L993" s="55">
        <v>28</v>
      </c>
      <c r="M993" s="55">
        <f>J993-K993-L993</f>
        <v>36</v>
      </c>
      <c r="N993" s="81">
        <v>102</v>
      </c>
      <c r="O993" s="55">
        <v>38</v>
      </c>
      <c r="P993" s="55">
        <v>28</v>
      </c>
      <c r="Q993" s="55">
        <f>N993-O993-P993</f>
        <v>36</v>
      </c>
      <c r="T993" s="2"/>
      <c r="U993" s="13"/>
      <c r="V993" s="2"/>
      <c r="W993" s="2"/>
    </row>
    <row r="994" spans="2:23" x14ac:dyDescent="0.15">
      <c r="D994" s="447"/>
      <c r="E994" s="448"/>
      <c r="F994" s="58" t="e">
        <f t="shared" ref="F994:Q994" si="238">ROUND(F993/(F$987+F$989+F$991+F$993+F$995),3)</f>
        <v>#DIV/0!</v>
      </c>
      <c r="G994" s="59" t="e">
        <f t="shared" si="238"/>
        <v>#DIV/0!</v>
      </c>
      <c r="H994" s="59" t="e">
        <f t="shared" si="238"/>
        <v>#DIV/0!</v>
      </c>
      <c r="I994" s="60" t="e">
        <f t="shared" si="238"/>
        <v>#DIV/0!</v>
      </c>
      <c r="J994" s="61">
        <f t="shared" si="238"/>
        <v>0.13500000000000001</v>
      </c>
      <c r="K994" s="59">
        <f t="shared" si="238"/>
        <v>0.57599999999999996</v>
      </c>
      <c r="L994" s="59">
        <f t="shared" si="238"/>
        <v>0.106</v>
      </c>
      <c r="M994" s="59">
        <f t="shared" si="238"/>
        <v>8.4000000000000005E-2</v>
      </c>
      <c r="N994" s="61">
        <f t="shared" si="238"/>
        <v>0.13500000000000001</v>
      </c>
      <c r="O994" s="59">
        <f t="shared" si="238"/>
        <v>0.57599999999999996</v>
      </c>
      <c r="P994" s="59">
        <f t="shared" si="238"/>
        <v>0.106</v>
      </c>
      <c r="Q994" s="59">
        <f t="shared" si="238"/>
        <v>8.4000000000000005E-2</v>
      </c>
      <c r="R994" s="51"/>
      <c r="S994" s="51"/>
      <c r="T994" s="2"/>
      <c r="U994" s="13"/>
      <c r="V994" s="2"/>
      <c r="W994" s="2"/>
    </row>
    <row r="995" spans="2:23" x14ac:dyDescent="0.15">
      <c r="D995" s="445" t="s">
        <v>57</v>
      </c>
      <c r="E995" s="446"/>
      <c r="F995" s="54">
        <f>G995+H995+I995</f>
        <v>0</v>
      </c>
      <c r="G995" s="55">
        <v>0</v>
      </c>
      <c r="H995" s="55">
        <v>0</v>
      </c>
      <c r="I995" s="56">
        <v>0</v>
      </c>
      <c r="J995" s="81">
        <v>69</v>
      </c>
      <c r="K995" s="55">
        <v>5</v>
      </c>
      <c r="L995" s="55">
        <v>26</v>
      </c>
      <c r="M995" s="55">
        <f>J995-K995-L995</f>
        <v>38</v>
      </c>
      <c r="N995" s="81">
        <v>69</v>
      </c>
      <c r="O995" s="55">
        <v>5</v>
      </c>
      <c r="P995" s="55">
        <v>26</v>
      </c>
      <c r="Q995" s="55">
        <f>N995-O995-P995</f>
        <v>38</v>
      </c>
      <c r="T995" s="2"/>
      <c r="U995" s="13"/>
      <c r="V995" s="2"/>
      <c r="W995" s="2"/>
    </row>
    <row r="996" spans="2:23" x14ac:dyDescent="0.15">
      <c r="D996" s="447"/>
      <c r="E996" s="448"/>
      <c r="F996" s="58" t="e">
        <f t="shared" ref="F996:Q996" si="239">ROUND(F995/(F$987+F$989+F$991+F$993+F$995),3)</f>
        <v>#DIV/0!</v>
      </c>
      <c r="G996" s="59" t="e">
        <f t="shared" si="239"/>
        <v>#DIV/0!</v>
      </c>
      <c r="H996" s="59" t="e">
        <f t="shared" si="239"/>
        <v>#DIV/0!</v>
      </c>
      <c r="I996" s="60" t="e">
        <f t="shared" si="239"/>
        <v>#DIV/0!</v>
      </c>
      <c r="J996" s="61">
        <f t="shared" si="239"/>
        <v>9.0999999999999998E-2</v>
      </c>
      <c r="K996" s="59">
        <f t="shared" si="239"/>
        <v>7.5999999999999998E-2</v>
      </c>
      <c r="L996" s="59">
        <f t="shared" si="239"/>
        <v>9.9000000000000005E-2</v>
      </c>
      <c r="M996" s="59">
        <f t="shared" si="239"/>
        <v>8.8999999999999996E-2</v>
      </c>
      <c r="N996" s="61">
        <f t="shared" si="239"/>
        <v>9.0999999999999998E-2</v>
      </c>
      <c r="O996" s="59">
        <f t="shared" si="239"/>
        <v>7.5999999999999998E-2</v>
      </c>
      <c r="P996" s="59">
        <f t="shared" si="239"/>
        <v>9.9000000000000005E-2</v>
      </c>
      <c r="Q996" s="59">
        <f t="shared" si="239"/>
        <v>8.8999999999999996E-2</v>
      </c>
      <c r="R996" s="51"/>
      <c r="S996" s="51"/>
      <c r="T996" s="2"/>
      <c r="U996" s="13"/>
      <c r="V996" s="2"/>
      <c r="W996" s="2"/>
    </row>
    <row r="997" spans="2:23" x14ac:dyDescent="0.15">
      <c r="D997" s="449" t="s">
        <v>287</v>
      </c>
      <c r="E997" s="426"/>
      <c r="F997" s="160"/>
      <c r="G997" s="161"/>
      <c r="H997" s="161"/>
      <c r="I997" s="162"/>
      <c r="J997" s="163">
        <v>2.2999999999999998</v>
      </c>
      <c r="K997" s="161" t="s">
        <v>41</v>
      </c>
      <c r="L997" s="161" t="s">
        <v>41</v>
      </c>
      <c r="M997" s="161" t="s">
        <v>41</v>
      </c>
      <c r="N997" s="163">
        <v>2.2999999999999998</v>
      </c>
      <c r="O997" s="161" t="s">
        <v>41</v>
      </c>
      <c r="P997" s="161" t="s">
        <v>41</v>
      </c>
      <c r="Q997" s="161" t="s">
        <v>41</v>
      </c>
      <c r="R997" s="164"/>
      <c r="S997" s="164"/>
      <c r="T997" s="2"/>
      <c r="U997" s="13"/>
      <c r="V997" s="2"/>
      <c r="W997" s="2"/>
    </row>
    <row r="998" spans="2:23" x14ac:dyDescent="0.15">
      <c r="D998" s="449" t="s">
        <v>53</v>
      </c>
      <c r="E998" s="426"/>
      <c r="F998" s="116">
        <f t="shared" ref="F998:Q998" si="240">F987+F989+F991+F993+F995</f>
        <v>0</v>
      </c>
      <c r="G998" s="55">
        <f t="shared" si="240"/>
        <v>0</v>
      </c>
      <c r="H998" s="63">
        <f t="shared" si="240"/>
        <v>0</v>
      </c>
      <c r="I998" s="56">
        <f t="shared" si="240"/>
        <v>0</v>
      </c>
      <c r="J998" s="87">
        <f t="shared" si="240"/>
        <v>757</v>
      </c>
      <c r="K998" s="80">
        <f t="shared" si="240"/>
        <v>66</v>
      </c>
      <c r="L998" s="87">
        <f t="shared" si="240"/>
        <v>263</v>
      </c>
      <c r="M998" s="80">
        <f t="shared" si="240"/>
        <v>428</v>
      </c>
      <c r="N998" s="87">
        <f t="shared" si="240"/>
        <v>757</v>
      </c>
      <c r="O998" s="80">
        <f t="shared" si="240"/>
        <v>66</v>
      </c>
      <c r="P998" s="87">
        <f t="shared" si="240"/>
        <v>263</v>
      </c>
      <c r="Q998" s="80">
        <f t="shared" si="240"/>
        <v>428</v>
      </c>
      <c r="T998" s="2"/>
      <c r="U998" s="13"/>
      <c r="V998" s="2"/>
      <c r="W998" s="2"/>
    </row>
    <row r="999" spans="2:23" ht="14.25" thickBot="1" x14ac:dyDescent="0.2">
      <c r="D999" s="449"/>
      <c r="E999" s="426"/>
      <c r="F999" s="165" t="e">
        <f>F988+F990+F992+F994+F996</f>
        <v>#DIV/0!</v>
      </c>
      <c r="G999" s="166" t="e">
        <f>G988+G990+G992+G994+G996</f>
        <v>#DIV/0!</v>
      </c>
      <c r="H999" s="167" t="e">
        <f>H988+H990+H992+H994+H996+0.1%</f>
        <v>#DIV/0!</v>
      </c>
      <c r="I999" s="168" t="e">
        <f>I988+I990+I992+I994+I996</f>
        <v>#DIV/0!</v>
      </c>
      <c r="J999" s="159">
        <f>J988+J990+J992+J994+J996</f>
        <v>1</v>
      </c>
      <c r="K999" s="59">
        <f>K988+K990+K992+K994+K996</f>
        <v>0.99999999999999989</v>
      </c>
      <c r="L999" s="159">
        <f>L988+L990+L992+L994+L996+0.1%</f>
        <v>1</v>
      </c>
      <c r="M999" s="59">
        <f>M988+M990+M992+M994+M996</f>
        <v>1</v>
      </c>
      <c r="N999" s="159">
        <f>N988+N990+N992+N994+N996</f>
        <v>1</v>
      </c>
      <c r="O999" s="59">
        <f>O988+O990+O992+O994+O996</f>
        <v>0.99999999999999989</v>
      </c>
      <c r="P999" s="159">
        <f>P988+P990+P992+P994+P996+0.1%</f>
        <v>1</v>
      </c>
      <c r="Q999" s="59">
        <f>Q988+Q990+Q992+Q994+Q996</f>
        <v>1</v>
      </c>
      <c r="R999" s="72"/>
      <c r="S999" s="72"/>
      <c r="T999" s="2"/>
      <c r="U999" s="13"/>
      <c r="V999" s="46"/>
      <c r="W999" s="2"/>
    </row>
    <row r="1000" spans="2:23" x14ac:dyDescent="0.15">
      <c r="D1000" s="100"/>
      <c r="E1000" s="100"/>
      <c r="F1000" s="90"/>
      <c r="G1000" s="90"/>
      <c r="H1000" s="90"/>
      <c r="I1000" s="90"/>
      <c r="J1000" s="90"/>
      <c r="K1000" s="90"/>
      <c r="L1000" s="72"/>
      <c r="M1000" s="46"/>
      <c r="N1000" s="90"/>
      <c r="O1000" s="90"/>
      <c r="P1000" s="72"/>
      <c r="Q1000" s="46"/>
      <c r="T1000" s="2"/>
      <c r="U1000" s="13"/>
    </row>
    <row r="1001" spans="2:23" x14ac:dyDescent="0.15">
      <c r="K1001" s="52"/>
      <c r="O1001" s="52"/>
      <c r="T1001" s="2"/>
      <c r="U1001" s="13"/>
    </row>
    <row r="1002" spans="2:23" x14ac:dyDescent="0.15">
      <c r="T1002" s="2"/>
      <c r="U1002" s="13"/>
    </row>
    <row r="1003" spans="2:23" ht="14.25" thickBot="1" x14ac:dyDescent="0.2">
      <c r="B1003" s="10" t="s">
        <v>288</v>
      </c>
      <c r="G1003" s="11" t="s">
        <v>271</v>
      </c>
      <c r="T1003" s="2"/>
      <c r="U1003" s="47"/>
    </row>
    <row r="1004" spans="2:23" x14ac:dyDescent="0.15">
      <c r="D1004" s="399"/>
      <c r="E1004" s="386"/>
      <c r="F1004" s="444" t="s">
        <v>273</v>
      </c>
      <c r="G1004" s="384"/>
      <c r="H1004" s="384"/>
      <c r="I1004" s="385"/>
      <c r="J1004" s="386" t="s">
        <v>274</v>
      </c>
      <c r="K1004" s="386"/>
      <c r="L1004" s="386"/>
      <c r="M1004" s="387"/>
      <c r="N1004" s="386" t="s">
        <v>274</v>
      </c>
      <c r="O1004" s="386"/>
      <c r="P1004" s="386"/>
      <c r="Q1004" s="387"/>
      <c r="T1004" s="2"/>
      <c r="V1004" s="2"/>
      <c r="W1004" s="2"/>
    </row>
    <row r="1005" spans="2:23" x14ac:dyDescent="0.15">
      <c r="D1005" s="400"/>
      <c r="E1005" s="443"/>
      <c r="F1005" s="14"/>
      <c r="G1005" s="15" t="s">
        <v>29</v>
      </c>
      <c r="H1005" s="15" t="s">
        <v>30</v>
      </c>
      <c r="I1005" s="169" t="s">
        <v>289</v>
      </c>
      <c r="J1005" s="19"/>
      <c r="K1005" s="15" t="s">
        <v>29</v>
      </c>
      <c r="L1005" s="15" t="s">
        <v>30</v>
      </c>
      <c r="M1005" s="170" t="s">
        <v>289</v>
      </c>
      <c r="N1005" s="19"/>
      <c r="O1005" s="15" t="s">
        <v>29</v>
      </c>
      <c r="P1005" s="15" t="s">
        <v>30</v>
      </c>
      <c r="Q1005" s="170" t="s">
        <v>289</v>
      </c>
      <c r="V1005" s="2"/>
      <c r="W1005" s="2"/>
    </row>
    <row r="1006" spans="2:23" x14ac:dyDescent="0.15">
      <c r="D1006" s="439" t="s">
        <v>290</v>
      </c>
      <c r="E1006" s="440"/>
      <c r="F1006" s="54">
        <f>G1006+H1006+I1006</f>
        <v>0</v>
      </c>
      <c r="G1006" s="55">
        <v>0</v>
      </c>
      <c r="H1006" s="55">
        <v>0</v>
      </c>
      <c r="I1006" s="171">
        <v>0</v>
      </c>
      <c r="J1006" s="81">
        <v>235</v>
      </c>
      <c r="K1006" s="55">
        <v>15</v>
      </c>
      <c r="L1006" s="55">
        <v>51</v>
      </c>
      <c r="M1006" s="57">
        <f>J1006-K1006-L1006</f>
        <v>169</v>
      </c>
      <c r="N1006" s="81">
        <v>235</v>
      </c>
      <c r="O1006" s="55">
        <v>15</v>
      </c>
      <c r="P1006" s="55">
        <v>51</v>
      </c>
      <c r="Q1006" s="57">
        <f>N1006-O1006-P1006</f>
        <v>169</v>
      </c>
      <c r="V1006" s="2"/>
      <c r="W1006" s="2"/>
    </row>
    <row r="1007" spans="2:23" x14ac:dyDescent="0.15">
      <c r="D1007" s="441"/>
      <c r="E1007" s="442"/>
      <c r="F1007" s="58" t="e">
        <f t="shared" ref="F1007:Q1007" si="241">ROUND(F1006/(F$1006+F$1008+F$1010+F$1012),3)</f>
        <v>#DIV/0!</v>
      </c>
      <c r="G1007" s="59" t="e">
        <f t="shared" si="241"/>
        <v>#DIV/0!</v>
      </c>
      <c r="H1007" s="59" t="e">
        <f t="shared" si="241"/>
        <v>#DIV/0!</v>
      </c>
      <c r="I1007" s="172" t="e">
        <f t="shared" si="241"/>
        <v>#DIV/0!</v>
      </c>
      <c r="J1007" s="61">
        <f t="shared" si="241"/>
        <v>0.31</v>
      </c>
      <c r="K1007" s="59">
        <f t="shared" si="241"/>
        <v>0.22700000000000001</v>
      </c>
      <c r="L1007" s="59">
        <f t="shared" si="241"/>
        <v>0.19400000000000001</v>
      </c>
      <c r="M1007" s="61">
        <f t="shared" si="241"/>
        <v>0.39500000000000002</v>
      </c>
      <c r="N1007" s="61">
        <f t="shared" si="241"/>
        <v>0.31</v>
      </c>
      <c r="O1007" s="59">
        <f t="shared" si="241"/>
        <v>0.22700000000000001</v>
      </c>
      <c r="P1007" s="59">
        <f t="shared" si="241"/>
        <v>0.19400000000000001</v>
      </c>
      <c r="Q1007" s="61">
        <f t="shared" si="241"/>
        <v>0.39500000000000002</v>
      </c>
      <c r="V1007" s="2"/>
      <c r="W1007" s="2"/>
    </row>
    <row r="1008" spans="2:23" x14ac:dyDescent="0.15">
      <c r="D1008" s="439" t="s">
        <v>291</v>
      </c>
      <c r="E1008" s="440"/>
      <c r="F1008" s="54">
        <f>G1008+H1008+I1008</f>
        <v>0</v>
      </c>
      <c r="G1008" s="55">
        <v>0</v>
      </c>
      <c r="H1008" s="55">
        <v>0</v>
      </c>
      <c r="I1008" s="171">
        <v>0</v>
      </c>
      <c r="J1008" s="81">
        <v>342</v>
      </c>
      <c r="K1008" s="55">
        <v>35</v>
      </c>
      <c r="L1008" s="55">
        <v>124</v>
      </c>
      <c r="M1008" s="57">
        <f>J1008-K1008-L1008</f>
        <v>183</v>
      </c>
      <c r="N1008" s="81">
        <v>342</v>
      </c>
      <c r="O1008" s="55">
        <v>35</v>
      </c>
      <c r="P1008" s="55">
        <v>124</v>
      </c>
      <c r="Q1008" s="57">
        <f>N1008-O1008-P1008</f>
        <v>183</v>
      </c>
      <c r="U1008" s="13"/>
      <c r="V1008" s="2"/>
      <c r="W1008" s="2"/>
    </row>
    <row r="1009" spans="2:40" x14ac:dyDescent="0.15">
      <c r="D1009" s="441"/>
      <c r="E1009" s="442"/>
      <c r="F1009" s="58" t="e">
        <f t="shared" ref="F1009:Q1009" si="242">ROUND(F1008/(F$1006+F$1008+F$1010+F$1012),3)</f>
        <v>#DIV/0!</v>
      </c>
      <c r="G1009" s="59" t="e">
        <f t="shared" si="242"/>
        <v>#DIV/0!</v>
      </c>
      <c r="H1009" s="59" t="e">
        <f t="shared" si="242"/>
        <v>#DIV/0!</v>
      </c>
      <c r="I1009" s="172" t="e">
        <f t="shared" si="242"/>
        <v>#DIV/0!</v>
      </c>
      <c r="J1009" s="61">
        <f t="shared" si="242"/>
        <v>0.45200000000000001</v>
      </c>
      <c r="K1009" s="59">
        <f t="shared" si="242"/>
        <v>0.53</v>
      </c>
      <c r="L1009" s="59">
        <f t="shared" si="242"/>
        <v>0.47099999999999997</v>
      </c>
      <c r="M1009" s="61">
        <f t="shared" si="242"/>
        <v>0.42799999999999999</v>
      </c>
      <c r="N1009" s="61">
        <f t="shared" si="242"/>
        <v>0.45200000000000001</v>
      </c>
      <c r="O1009" s="59">
        <f t="shared" si="242"/>
        <v>0.53</v>
      </c>
      <c r="P1009" s="59">
        <f t="shared" si="242"/>
        <v>0.47099999999999997</v>
      </c>
      <c r="Q1009" s="61">
        <f t="shared" si="242"/>
        <v>0.42799999999999999</v>
      </c>
      <c r="U1009" s="13"/>
      <c r="V1009" s="2"/>
      <c r="W1009" s="2"/>
    </row>
    <row r="1010" spans="2:40" x14ac:dyDescent="0.15">
      <c r="D1010" s="435" t="s">
        <v>292</v>
      </c>
      <c r="E1010" s="436"/>
      <c r="F1010" s="54">
        <f>G1010+H1010+I1010</f>
        <v>0</v>
      </c>
      <c r="G1010" s="55">
        <v>0</v>
      </c>
      <c r="H1010" s="55">
        <v>0</v>
      </c>
      <c r="I1010" s="171">
        <v>0</v>
      </c>
      <c r="J1010" s="81">
        <v>104</v>
      </c>
      <c r="K1010" s="55">
        <v>7</v>
      </c>
      <c r="L1010" s="55">
        <v>65</v>
      </c>
      <c r="M1010" s="57">
        <f>J1010-K1010-L1010</f>
        <v>32</v>
      </c>
      <c r="N1010" s="81">
        <v>104</v>
      </c>
      <c r="O1010" s="55">
        <v>7</v>
      </c>
      <c r="P1010" s="55">
        <v>65</v>
      </c>
      <c r="Q1010" s="57">
        <f>N1010-O1010-P1010</f>
        <v>32</v>
      </c>
      <c r="U1010" s="13"/>
      <c r="V1010" s="2"/>
      <c r="W1010" s="2"/>
    </row>
    <row r="1011" spans="2:40" x14ac:dyDescent="0.15">
      <c r="D1011" s="437"/>
      <c r="E1011" s="438"/>
      <c r="F1011" s="58" t="e">
        <f t="shared" ref="F1011:Q1011" si="243">ROUND(F1010/(F$1006+F$1008+F$1010+F$1012),3)</f>
        <v>#DIV/0!</v>
      </c>
      <c r="G1011" s="59" t="e">
        <f t="shared" si="243"/>
        <v>#DIV/0!</v>
      </c>
      <c r="H1011" s="59" t="e">
        <f t="shared" si="243"/>
        <v>#DIV/0!</v>
      </c>
      <c r="I1011" s="172" t="e">
        <f t="shared" si="243"/>
        <v>#DIV/0!</v>
      </c>
      <c r="J1011" s="61">
        <f t="shared" si="243"/>
        <v>0.13700000000000001</v>
      </c>
      <c r="K1011" s="59">
        <f t="shared" si="243"/>
        <v>0.106</v>
      </c>
      <c r="L1011" s="59">
        <f t="shared" si="243"/>
        <v>0.247</v>
      </c>
      <c r="M1011" s="61">
        <f t="shared" si="243"/>
        <v>7.4999999999999997E-2</v>
      </c>
      <c r="N1011" s="61">
        <f t="shared" si="243"/>
        <v>0.13700000000000001</v>
      </c>
      <c r="O1011" s="59">
        <f t="shared" si="243"/>
        <v>0.106</v>
      </c>
      <c r="P1011" s="59">
        <f t="shared" si="243"/>
        <v>0.247</v>
      </c>
      <c r="Q1011" s="61">
        <f t="shared" si="243"/>
        <v>7.4999999999999997E-2</v>
      </c>
      <c r="U1011" s="13"/>
      <c r="V1011" s="2"/>
      <c r="W1011" s="2"/>
    </row>
    <row r="1012" spans="2:40" x14ac:dyDescent="0.15">
      <c r="D1012" s="439" t="s">
        <v>57</v>
      </c>
      <c r="E1012" s="440"/>
      <c r="F1012" s="54">
        <f>G1012+H1012+I1012</f>
        <v>0</v>
      </c>
      <c r="G1012" s="55">
        <v>0</v>
      </c>
      <c r="H1012" s="55">
        <v>0</v>
      </c>
      <c r="I1012" s="171">
        <v>0</v>
      </c>
      <c r="J1012" s="81">
        <v>76</v>
      </c>
      <c r="K1012" s="55">
        <v>9</v>
      </c>
      <c r="L1012" s="55">
        <v>23</v>
      </c>
      <c r="M1012" s="57">
        <f>J1012-K1012-L1012</f>
        <v>44</v>
      </c>
      <c r="N1012" s="81">
        <v>76</v>
      </c>
      <c r="O1012" s="55">
        <v>9</v>
      </c>
      <c r="P1012" s="55">
        <v>23</v>
      </c>
      <c r="Q1012" s="57">
        <f>N1012-O1012-P1012</f>
        <v>44</v>
      </c>
      <c r="U1012" s="13"/>
      <c r="V1012" s="2"/>
      <c r="W1012" s="2"/>
    </row>
    <row r="1013" spans="2:40" x14ac:dyDescent="0.15">
      <c r="D1013" s="441"/>
      <c r="E1013" s="442"/>
      <c r="F1013" s="58" t="e">
        <f t="shared" ref="F1013:Q1013" si="244">ROUND(F1012/(F$1006+F$1008+F$1010+F$1012),3)</f>
        <v>#DIV/0!</v>
      </c>
      <c r="G1013" s="59" t="e">
        <f t="shared" si="244"/>
        <v>#DIV/0!</v>
      </c>
      <c r="H1013" s="59" t="e">
        <f t="shared" si="244"/>
        <v>#DIV/0!</v>
      </c>
      <c r="I1013" s="172" t="e">
        <f t="shared" si="244"/>
        <v>#DIV/0!</v>
      </c>
      <c r="J1013" s="61">
        <f t="shared" si="244"/>
        <v>0.1</v>
      </c>
      <c r="K1013" s="59">
        <f t="shared" si="244"/>
        <v>0.13600000000000001</v>
      </c>
      <c r="L1013" s="59">
        <f t="shared" si="244"/>
        <v>8.6999999999999994E-2</v>
      </c>
      <c r="M1013" s="61">
        <f t="shared" si="244"/>
        <v>0.10299999999999999</v>
      </c>
      <c r="N1013" s="61">
        <f t="shared" si="244"/>
        <v>0.1</v>
      </c>
      <c r="O1013" s="59">
        <f t="shared" si="244"/>
        <v>0.13600000000000001</v>
      </c>
      <c r="P1013" s="59">
        <f t="shared" si="244"/>
        <v>8.6999999999999994E-2</v>
      </c>
      <c r="Q1013" s="61">
        <f t="shared" si="244"/>
        <v>0.10299999999999999</v>
      </c>
      <c r="U1013" s="13"/>
      <c r="V1013" s="2"/>
      <c r="W1013" s="2"/>
    </row>
    <row r="1014" spans="2:40" x14ac:dyDescent="0.15">
      <c r="D1014" s="399" t="s">
        <v>53</v>
      </c>
      <c r="E1014" s="386"/>
      <c r="F1014" s="116">
        <f t="shared" ref="F1014:Q1014" si="245">F1006+F1008+F1010+F1012</f>
        <v>0</v>
      </c>
      <c r="G1014" s="55">
        <f t="shared" si="245"/>
        <v>0</v>
      </c>
      <c r="H1014" s="55">
        <f t="shared" si="245"/>
        <v>0</v>
      </c>
      <c r="I1014" s="171">
        <f t="shared" si="245"/>
        <v>0</v>
      </c>
      <c r="J1014" s="63">
        <f t="shared" si="245"/>
        <v>757</v>
      </c>
      <c r="K1014" s="55">
        <f t="shared" si="245"/>
        <v>66</v>
      </c>
      <c r="L1014" s="55">
        <f t="shared" si="245"/>
        <v>263</v>
      </c>
      <c r="M1014" s="57">
        <f t="shared" si="245"/>
        <v>428</v>
      </c>
      <c r="N1014" s="63">
        <f t="shared" si="245"/>
        <v>757</v>
      </c>
      <c r="O1014" s="55">
        <f t="shared" si="245"/>
        <v>66</v>
      </c>
      <c r="P1014" s="55">
        <f t="shared" si="245"/>
        <v>263</v>
      </c>
      <c r="Q1014" s="57">
        <f t="shared" si="245"/>
        <v>428</v>
      </c>
      <c r="U1014" s="13"/>
      <c r="V1014" s="2"/>
      <c r="W1014" s="2"/>
    </row>
    <row r="1015" spans="2:40" ht="14.25" thickBot="1" x14ac:dyDescent="0.2">
      <c r="D1015" s="400"/>
      <c r="E1015" s="443"/>
      <c r="F1015" s="165" t="e">
        <f>F1007+F1009+F1011+F1013+0.1%</f>
        <v>#DIV/0!</v>
      </c>
      <c r="G1015" s="166" t="e">
        <f>G1007+G1009+G1011+G1013+0.1%</f>
        <v>#DIV/0!</v>
      </c>
      <c r="H1015" s="166" t="e">
        <f>H1007+H1009+H1011+H1013+0.1%</f>
        <v>#DIV/0!</v>
      </c>
      <c r="I1015" s="173" t="e">
        <f>I1007+I1009+I1011+I1013-0.1%</f>
        <v>#DIV/0!</v>
      </c>
      <c r="J1015" s="159">
        <f>J1007+J1009+J1011+J1013+0.1%</f>
        <v>1</v>
      </c>
      <c r="K1015" s="59">
        <f>K1007+K1009+K1011+K1013+0.1%</f>
        <v>1</v>
      </c>
      <c r="L1015" s="59">
        <f>L1007+L1009+L1011+L1013+0.1%</f>
        <v>1</v>
      </c>
      <c r="M1015" s="61">
        <f>M1007+M1009+M1011+M1013-0.1%</f>
        <v>0.99999999999999989</v>
      </c>
      <c r="N1015" s="159">
        <f>N1007+N1009+N1011+N1013+0.1%</f>
        <v>1</v>
      </c>
      <c r="O1015" s="59">
        <f>O1007+O1009+O1011+O1013+0.1%</f>
        <v>1</v>
      </c>
      <c r="P1015" s="59">
        <f>P1007+P1009+P1011+P1013+0.1%</f>
        <v>1</v>
      </c>
      <c r="Q1015" s="61">
        <f>Q1007+Q1009+Q1011+Q1013-0.1%</f>
        <v>0.99999999999999989</v>
      </c>
      <c r="U1015" s="13"/>
      <c r="V1015" s="2"/>
      <c r="W1015" s="2"/>
    </row>
    <row r="1016" spans="2:40" x14ac:dyDescent="0.15">
      <c r="G1016" s="72"/>
      <c r="H1016" s="72"/>
      <c r="I1016" s="72"/>
      <c r="J1016" s="72"/>
      <c r="K1016" s="72"/>
      <c r="L1016" s="72"/>
      <c r="M1016" s="46"/>
      <c r="N1016" s="72"/>
      <c r="O1016" s="72"/>
      <c r="P1016" s="72"/>
      <c r="Q1016" s="46"/>
      <c r="U1016" s="13"/>
    </row>
    <row r="1017" spans="2:40" x14ac:dyDescent="0.15">
      <c r="G1017" s="72"/>
      <c r="H1017" s="72"/>
      <c r="I1017" s="72"/>
      <c r="J1017" s="72"/>
      <c r="K1017" s="72"/>
      <c r="L1017" s="72"/>
      <c r="M1017" s="46"/>
      <c r="N1017" s="72"/>
      <c r="O1017" s="72"/>
      <c r="P1017" s="72"/>
      <c r="Q1017" s="46"/>
      <c r="U1017" s="13"/>
    </row>
    <row r="1018" spans="2:40" ht="14.25" thickBot="1" x14ac:dyDescent="0.2">
      <c r="B1018" s="106"/>
      <c r="C1018" s="52"/>
      <c r="D1018" s="52"/>
      <c r="E1018" s="52"/>
      <c r="F1018" s="52"/>
      <c r="G1018" s="52"/>
      <c r="H1018" s="52"/>
      <c r="I1018" s="52"/>
      <c r="J1018" s="52"/>
      <c r="K1018" s="52"/>
      <c r="L1018" s="52"/>
      <c r="M1018" s="52"/>
      <c r="N1018" s="52"/>
      <c r="O1018" s="52"/>
      <c r="P1018" s="52"/>
      <c r="Q1018" s="52"/>
      <c r="R1018" s="52"/>
      <c r="S1018" s="52"/>
      <c r="U1018" s="13"/>
      <c r="W1018" s="174" t="s">
        <v>293</v>
      </c>
      <c r="X1018" s="2"/>
      <c r="Y1018" s="2"/>
      <c r="Z1018" s="2"/>
      <c r="AA1018" s="2"/>
      <c r="AB1018" s="2"/>
      <c r="AC1018" s="11" t="s">
        <v>294</v>
      </c>
      <c r="AD1018" s="2"/>
      <c r="AE1018" s="2"/>
      <c r="AF1018" s="2"/>
      <c r="AG1018" s="2"/>
      <c r="AH1018" s="2"/>
      <c r="AI1018" s="2"/>
      <c r="AJ1018" s="2"/>
      <c r="AK1018" s="2"/>
      <c r="AL1018" s="2"/>
      <c r="AM1018" s="2"/>
      <c r="AN1018" s="146"/>
    </row>
    <row r="1019" spans="2:40" x14ac:dyDescent="0.15">
      <c r="B1019" s="52"/>
      <c r="C1019" s="52"/>
      <c r="D1019" s="48"/>
      <c r="E1019" s="48"/>
      <c r="F1019" s="48"/>
      <c r="G1019" s="48"/>
      <c r="H1019" s="48"/>
      <c r="I1019" s="48"/>
      <c r="J1019" s="100"/>
      <c r="K1019" s="422"/>
      <c r="L1019" s="422"/>
      <c r="M1019" s="422"/>
      <c r="N1019" s="422"/>
      <c r="O1019" s="422"/>
      <c r="P1019" s="422"/>
      <c r="Q1019" s="422"/>
      <c r="R1019" s="422"/>
      <c r="S1019" s="100"/>
      <c r="U1019" s="13"/>
      <c r="W1019" s="2"/>
      <c r="X1019" s="175"/>
      <c r="Y1019" s="384" t="s">
        <v>273</v>
      </c>
      <c r="Z1019" s="384"/>
      <c r="AA1019" s="384"/>
      <c r="AB1019" s="384"/>
      <c r="AC1019" s="384"/>
      <c r="AD1019" s="384"/>
      <c r="AE1019" s="385"/>
      <c r="AF1019" s="144"/>
      <c r="AG1019" s="386" t="s">
        <v>274</v>
      </c>
      <c r="AH1019" s="386"/>
      <c r="AI1019" s="386"/>
      <c r="AJ1019" s="386"/>
      <c r="AK1019" s="386"/>
      <c r="AL1019" s="386"/>
      <c r="AM1019" s="387"/>
      <c r="AN1019" s="176"/>
    </row>
    <row r="1020" spans="2:40" x14ac:dyDescent="0.15">
      <c r="B1020" s="52"/>
      <c r="C1020" s="52"/>
      <c r="D1020" s="100"/>
      <c r="E1020" s="48"/>
      <c r="F1020" s="48"/>
      <c r="G1020" s="48"/>
      <c r="H1020" s="48"/>
      <c r="I1020" s="48"/>
      <c r="J1020" s="100"/>
      <c r="K1020" s="100"/>
      <c r="L1020" s="421"/>
      <c r="M1020" s="421"/>
      <c r="N1020" s="100"/>
      <c r="O1020" s="100"/>
      <c r="P1020" s="421"/>
      <c r="Q1020" s="421"/>
      <c r="R1020" s="101"/>
      <c r="S1020" s="101"/>
      <c r="W1020" s="2"/>
      <c r="X1020" s="110"/>
      <c r="Y1020" s="19"/>
      <c r="Z1020" s="394" t="s">
        <v>29</v>
      </c>
      <c r="AA1020" s="394"/>
      <c r="AB1020" s="395" t="s">
        <v>30</v>
      </c>
      <c r="AC1020" s="396"/>
      <c r="AD1020" s="376" t="s">
        <v>31</v>
      </c>
      <c r="AE1020" s="409"/>
      <c r="AF1020" s="94"/>
      <c r="AG1020" s="19"/>
      <c r="AH1020" s="394" t="s">
        <v>29</v>
      </c>
      <c r="AI1020" s="394"/>
      <c r="AJ1020" s="395" t="s">
        <v>30</v>
      </c>
      <c r="AK1020" s="396"/>
      <c r="AL1020" s="376" t="s">
        <v>31</v>
      </c>
      <c r="AM1020" s="377"/>
      <c r="AN1020" s="177"/>
    </row>
    <row r="1021" spans="2:40" x14ac:dyDescent="0.15">
      <c r="B1021" s="434"/>
      <c r="C1021" s="434"/>
      <c r="D1021" s="434"/>
      <c r="E1021" s="434"/>
      <c r="F1021" s="48"/>
      <c r="G1021" s="48"/>
      <c r="H1021" s="48"/>
      <c r="I1021" s="48"/>
      <c r="J1021" s="100"/>
      <c r="K1021" s="52"/>
      <c r="L1021" s="100"/>
      <c r="M1021" s="102"/>
      <c r="N1021" s="100"/>
      <c r="O1021" s="52"/>
      <c r="P1021" s="100"/>
      <c r="Q1021" s="102"/>
      <c r="R1021" s="178"/>
      <c r="S1021" s="178"/>
      <c r="W1021" s="380" t="s">
        <v>295</v>
      </c>
      <c r="X1021" s="145"/>
      <c r="Y1021" s="179">
        <f>AA1021+AC1021+AE1021</f>
        <v>0</v>
      </c>
      <c r="Z1021" s="180"/>
      <c r="AA1021" s="57">
        <v>0</v>
      </c>
      <c r="AB1021" s="181"/>
      <c r="AC1021" s="182">
        <v>0</v>
      </c>
      <c r="AD1021" s="183"/>
      <c r="AE1021" s="184">
        <v>0</v>
      </c>
      <c r="AF1021" s="144">
        <v>1</v>
      </c>
      <c r="AG1021" s="185">
        <v>510</v>
      </c>
      <c r="AH1021" s="180">
        <v>1</v>
      </c>
      <c r="AI1021" s="57">
        <v>20</v>
      </c>
      <c r="AJ1021" s="181">
        <v>1</v>
      </c>
      <c r="AK1021" s="179">
        <v>161</v>
      </c>
      <c r="AL1021" s="186">
        <v>1</v>
      </c>
      <c r="AM1021" s="57">
        <f>AG1021-AI1021-AK1021</f>
        <v>329</v>
      </c>
      <c r="AN1021" s="187"/>
    </row>
    <row r="1022" spans="2:40" x14ac:dyDescent="0.15">
      <c r="B1022" s="434"/>
      <c r="C1022" s="434"/>
      <c r="D1022" s="434"/>
      <c r="E1022" s="434"/>
      <c r="F1022" s="48"/>
      <c r="G1022" s="48"/>
      <c r="H1022" s="48"/>
      <c r="I1022" s="48"/>
      <c r="J1022" s="100"/>
      <c r="K1022" s="78"/>
      <c r="L1022" s="101"/>
      <c r="M1022" s="78"/>
      <c r="N1022" s="100"/>
      <c r="O1022" s="78"/>
      <c r="P1022" s="101"/>
      <c r="Q1022" s="78"/>
      <c r="R1022" s="78"/>
      <c r="S1022" s="78"/>
      <c r="W1022" s="380"/>
      <c r="X1022" s="110"/>
      <c r="Y1022" s="188" t="e">
        <f>ROUND(Y1021/(Y$1021+Y$1023+Y$1025+Y$1027+Y$1029+Y$1031+Y$1033),3)</f>
        <v>#DIV/0!</v>
      </c>
      <c r="Z1022" s="189"/>
      <c r="AA1022" s="188" t="e">
        <f>ROUND(AA1021/(AA$1021+AA$1023+AA$1025+AA$1027+AA$1029+AA$1031+AA$1033),3)</f>
        <v>#DIV/0!</v>
      </c>
      <c r="AB1022" s="190"/>
      <c r="AC1022" s="188" t="e">
        <f>ROUND(AC1021/(AC$1021+AC$1023+AC$1025+AC$1027+AC$1029+AC$1031+AC$1033),3)</f>
        <v>#DIV/0!</v>
      </c>
      <c r="AD1022" s="191"/>
      <c r="AE1022" s="192" t="e">
        <f>ROUND(AE1021/(AE$1021+AE$1023+AE$1025+AE$1027+AE$1029+AE$1031+AE$1033),3)</f>
        <v>#DIV/0!</v>
      </c>
      <c r="AF1022" s="94"/>
      <c r="AG1022" s="188">
        <f>ROUND(AG1021/(AG$1021+AG$1023+AG$1025+AG$1027+AG$1031+AG$1033),3)</f>
        <v>0.67400000000000004</v>
      </c>
      <c r="AH1022" s="189"/>
      <c r="AI1022" s="188">
        <f>ROUND(AI1021/(AI$1021+AI$1023+AI$1025+AI$1027+AI$1031+AI$1033),3)</f>
        <v>0.30299999999999999</v>
      </c>
      <c r="AJ1022" s="190"/>
      <c r="AK1022" s="188">
        <f>ROUND(AK1021/(AK$1021+AK$1023+AK$1025+AK$1027+AK$1031+AK$1033),3)</f>
        <v>0.61199999999999999</v>
      </c>
      <c r="AL1022" s="191"/>
      <c r="AM1022" s="188">
        <f>ROUND(AM1021/(AM$1021+AM$1023+AM$1025+AM$1027+AM$1031+AM$1033),3)</f>
        <v>0.76900000000000002</v>
      </c>
      <c r="AN1022" s="177"/>
    </row>
    <row r="1023" spans="2:40" x14ac:dyDescent="0.15">
      <c r="B1023" s="434"/>
      <c r="C1023" s="434"/>
      <c r="D1023" s="434"/>
      <c r="E1023" s="434"/>
      <c r="F1023" s="48"/>
      <c r="G1023" s="48"/>
      <c r="H1023" s="48"/>
      <c r="I1023" s="48"/>
      <c r="J1023" s="100"/>
      <c r="K1023" s="52"/>
      <c r="L1023" s="100"/>
      <c r="M1023" s="102"/>
      <c r="N1023" s="100"/>
      <c r="O1023" s="52"/>
      <c r="P1023" s="100"/>
      <c r="Q1023" s="102"/>
      <c r="R1023" s="178"/>
      <c r="S1023" s="178"/>
      <c r="W1023" s="380" t="s">
        <v>295</v>
      </c>
      <c r="X1023" s="145"/>
      <c r="Y1023" s="179">
        <f>AA1023+AC1023+AE1023</f>
        <v>0</v>
      </c>
      <c r="Z1023" s="180"/>
      <c r="AA1023" s="57">
        <v>0</v>
      </c>
      <c r="AB1023" s="181"/>
      <c r="AC1023" s="182">
        <v>0</v>
      </c>
      <c r="AD1023" s="183"/>
      <c r="AE1023" s="184">
        <v>0</v>
      </c>
      <c r="AF1023" s="144">
        <v>2</v>
      </c>
      <c r="AG1023" s="185">
        <v>54</v>
      </c>
      <c r="AH1023" s="180">
        <v>4</v>
      </c>
      <c r="AI1023" s="57">
        <v>3</v>
      </c>
      <c r="AJ1023" s="181">
        <v>2</v>
      </c>
      <c r="AK1023" s="179">
        <v>28</v>
      </c>
      <c r="AL1023" s="186">
        <v>2</v>
      </c>
      <c r="AM1023" s="57">
        <f>AG1023-AI1023-AK1023</f>
        <v>23</v>
      </c>
      <c r="AN1023" s="187"/>
    </row>
    <row r="1024" spans="2:40" x14ac:dyDescent="0.15">
      <c r="B1024" s="434"/>
      <c r="C1024" s="434"/>
      <c r="D1024" s="434"/>
      <c r="E1024" s="434"/>
      <c r="F1024" s="48"/>
      <c r="G1024" s="48"/>
      <c r="H1024" s="48"/>
      <c r="I1024" s="48"/>
      <c r="J1024" s="100"/>
      <c r="K1024" s="78"/>
      <c r="L1024" s="101"/>
      <c r="M1024" s="78"/>
      <c r="N1024" s="100"/>
      <c r="O1024" s="78"/>
      <c r="P1024" s="101"/>
      <c r="Q1024" s="78"/>
      <c r="R1024" s="178"/>
      <c r="S1024" s="178"/>
      <c r="W1024" s="380"/>
      <c r="X1024" s="110"/>
      <c r="Y1024" s="188" t="e">
        <f>ROUND(Y1023/(Y$1021+Y$1023+Y$1025+Y$1027+Y$1029+Y$1031+Y$1033),3)</f>
        <v>#DIV/0!</v>
      </c>
      <c r="Z1024" s="189"/>
      <c r="AA1024" s="188" t="e">
        <f>ROUND(AA1023/(AA$1021+AA$1023+AA$1025+AA$1027+AA$1029+AA$1031+AA$1033),3)</f>
        <v>#DIV/0!</v>
      </c>
      <c r="AB1024" s="190"/>
      <c r="AC1024" s="188" t="e">
        <f>ROUND(AC1023/(AC$1021+AC$1023+AC$1025+AC$1027+AC$1029+AC$1031+AC$1033),3)</f>
        <v>#DIV/0!</v>
      </c>
      <c r="AD1024" s="191"/>
      <c r="AE1024" s="192" t="e">
        <f>ROUND(AE1023/(AE$1021+AE$1023+AE$1025+AE$1027+AE$1029+AE$1031+AE$1033),3)</f>
        <v>#DIV/0!</v>
      </c>
      <c r="AF1024" s="94"/>
      <c r="AG1024" s="188">
        <f>ROUND(AG1023/(AG$1021+AG$1023+AG$1025+AG$1027+AG$1031+AG$1033),3)</f>
        <v>7.0999999999999994E-2</v>
      </c>
      <c r="AH1024" s="189"/>
      <c r="AI1024" s="188">
        <f>ROUND(AI1023/(AI$1021+AI$1023+AI$1025+AI$1027+AI$1031+AI$1033),3)</f>
        <v>4.4999999999999998E-2</v>
      </c>
      <c r="AJ1024" s="193"/>
      <c r="AK1024" s="188">
        <f>ROUND(AK1023/(AK$1021+AK$1023+AK$1025+AK$1027+AK$1031+AK$1033),3)</f>
        <v>0.106</v>
      </c>
      <c r="AL1024" s="194"/>
      <c r="AM1024" s="188">
        <f>ROUND(AM1023/(AM$1021+AM$1025+AM$1023+AM$1027+AM$1031+AM$1033),3)</f>
        <v>5.3999999999999999E-2</v>
      </c>
      <c r="AN1024" s="177"/>
    </row>
    <row r="1025" spans="2:41" x14ac:dyDescent="0.15">
      <c r="B1025" s="433"/>
      <c r="C1025" s="433"/>
      <c r="D1025" s="433"/>
      <c r="E1025" s="433"/>
      <c r="F1025" s="48"/>
      <c r="G1025" s="48"/>
      <c r="H1025" s="48"/>
      <c r="I1025" s="48"/>
      <c r="J1025" s="100"/>
      <c r="K1025" s="52"/>
      <c r="L1025" s="100"/>
      <c r="M1025" s="102"/>
      <c r="N1025" s="100"/>
      <c r="O1025" s="52"/>
      <c r="P1025" s="100"/>
      <c r="Q1025" s="102"/>
      <c r="R1025" s="178"/>
      <c r="S1025" s="178"/>
      <c r="W1025" s="383" t="s">
        <v>296</v>
      </c>
      <c r="X1025" s="145"/>
      <c r="Y1025" s="179">
        <f>AA1025+AC1025+AE1025</f>
        <v>0</v>
      </c>
      <c r="Z1025" s="180"/>
      <c r="AA1025" s="57">
        <v>0</v>
      </c>
      <c r="AB1025" s="181"/>
      <c r="AC1025" s="182">
        <v>0</v>
      </c>
      <c r="AD1025" s="183"/>
      <c r="AE1025" s="184">
        <v>0</v>
      </c>
      <c r="AF1025" s="144">
        <v>3</v>
      </c>
      <c r="AG1025" s="185">
        <v>28</v>
      </c>
      <c r="AH1025" s="180">
        <v>3</v>
      </c>
      <c r="AI1025" s="57">
        <v>7</v>
      </c>
      <c r="AJ1025" s="181">
        <v>3</v>
      </c>
      <c r="AK1025" s="179">
        <v>17</v>
      </c>
      <c r="AL1025" s="186">
        <v>4</v>
      </c>
      <c r="AM1025" s="57">
        <f>AG1025-AI1025-AK1025</f>
        <v>4</v>
      </c>
      <c r="AN1025" s="187"/>
    </row>
    <row r="1026" spans="2:41" x14ac:dyDescent="0.15">
      <c r="B1026" s="433"/>
      <c r="C1026" s="433"/>
      <c r="D1026" s="433"/>
      <c r="E1026" s="433"/>
      <c r="F1026" s="48"/>
      <c r="G1026" s="48"/>
      <c r="H1026" s="48"/>
      <c r="I1026" s="48"/>
      <c r="J1026" s="100"/>
      <c r="K1026" s="78"/>
      <c r="L1026" s="101"/>
      <c r="M1026" s="78"/>
      <c r="N1026" s="100"/>
      <c r="O1026" s="78"/>
      <c r="P1026" s="101"/>
      <c r="Q1026" s="78"/>
      <c r="R1026" s="178"/>
      <c r="S1026" s="178"/>
      <c r="W1026" s="383"/>
      <c r="X1026" s="110"/>
      <c r="Y1026" s="188" t="e">
        <f>ROUND(Y1025/(Y$1021+Y$1023+Y$1025+Y$1027+Y$1029+Y$1031+Y$1033),3)</f>
        <v>#DIV/0!</v>
      </c>
      <c r="Z1026" s="189"/>
      <c r="AA1026" s="188" t="e">
        <f>ROUND(AA1025/(AA$1021+AA$1023+AA$1025+AA$1027+AA$1029+AA$1031+AA$1033),3)</f>
        <v>#DIV/0!</v>
      </c>
      <c r="AB1026" s="190"/>
      <c r="AC1026" s="188" t="e">
        <f>ROUND(AC1025/(AC$1021+AC$1023+AC$1025+AC$1027+AC$1029+AC$1031+AC$1033),3)</f>
        <v>#DIV/0!</v>
      </c>
      <c r="AD1026" s="191"/>
      <c r="AE1026" s="192" t="e">
        <f>ROUND(AE1025/(AE$1021+AE$1023+AE$1025+AE$1027+AE$1029+AE$1031+AE$1033),3)</f>
        <v>#DIV/0!</v>
      </c>
      <c r="AF1026" s="94"/>
      <c r="AG1026" s="188">
        <f>ROUND(AG1025/(AG$1021+AG$1023+AG$1025+AG$1027+AG$1031+AG$1033),3)</f>
        <v>3.6999999999999998E-2</v>
      </c>
      <c r="AH1026" s="189"/>
      <c r="AI1026" s="188">
        <f>ROUND(AI1025/(AI$1021+AI$1023+AI$1025+AI$1027+AI$1031+AI$1033),3)</f>
        <v>0.106</v>
      </c>
      <c r="AJ1026" s="193"/>
      <c r="AK1026" s="188">
        <f>ROUND(AK1025/(AK$1021+AK$1023+AK$1025+AK$1027+AK$1031+AK$1033),3)</f>
        <v>6.5000000000000002E-2</v>
      </c>
      <c r="AL1026" s="194"/>
      <c r="AM1026" s="188">
        <f>ROUND(AM1025/(AM$1021+AM$1025+AM$1023+AM$1027+AM$1031+AM$1033),3)</f>
        <v>8.9999999999999993E-3</v>
      </c>
      <c r="AN1026" s="177"/>
    </row>
    <row r="1027" spans="2:41" x14ac:dyDescent="0.15">
      <c r="B1027" s="434"/>
      <c r="C1027" s="434"/>
      <c r="D1027" s="434"/>
      <c r="E1027" s="434"/>
      <c r="F1027" s="48"/>
      <c r="G1027" s="48"/>
      <c r="H1027" s="48"/>
      <c r="I1027" s="48"/>
      <c r="J1027" s="100"/>
      <c r="K1027" s="52"/>
      <c r="L1027" s="100"/>
      <c r="M1027" s="102"/>
      <c r="N1027" s="100"/>
      <c r="O1027" s="52"/>
      <c r="P1027" s="100"/>
      <c r="Q1027" s="102"/>
      <c r="R1027" s="178"/>
      <c r="S1027" s="178"/>
      <c r="W1027" s="195" t="s">
        <v>297</v>
      </c>
      <c r="X1027" s="145"/>
      <c r="Y1027" s="179">
        <f>AA1027+AC1027+AE1027</f>
        <v>0</v>
      </c>
      <c r="Z1027" s="180"/>
      <c r="AA1027" s="57">
        <v>0</v>
      </c>
      <c r="AB1027" s="181"/>
      <c r="AC1027" s="182">
        <v>0</v>
      </c>
      <c r="AD1027" s="183"/>
      <c r="AE1027" s="184">
        <v>0</v>
      </c>
      <c r="AF1027" s="144">
        <v>4</v>
      </c>
      <c r="AG1027" s="185">
        <v>21</v>
      </c>
      <c r="AH1027" s="180">
        <v>2</v>
      </c>
      <c r="AI1027" s="57">
        <v>13</v>
      </c>
      <c r="AJ1027" s="181">
        <v>4</v>
      </c>
      <c r="AK1027" s="179">
        <v>2</v>
      </c>
      <c r="AL1027" s="186">
        <v>3</v>
      </c>
      <c r="AM1027" s="57">
        <f>AG1027-AI1027-AK1027</f>
        <v>6</v>
      </c>
      <c r="AN1027" s="187"/>
    </row>
    <row r="1028" spans="2:41" x14ac:dyDescent="0.15">
      <c r="B1028" s="434"/>
      <c r="C1028" s="434"/>
      <c r="D1028" s="434"/>
      <c r="E1028" s="434"/>
      <c r="F1028" s="48"/>
      <c r="G1028" s="48"/>
      <c r="H1028" s="48"/>
      <c r="I1028" s="48"/>
      <c r="J1028" s="100"/>
      <c r="K1028" s="78"/>
      <c r="L1028" s="78"/>
      <c r="M1028" s="78"/>
      <c r="N1028" s="100"/>
      <c r="O1028" s="78"/>
      <c r="P1028" s="78"/>
      <c r="Q1028" s="78"/>
      <c r="R1028" s="178"/>
      <c r="S1028" s="178"/>
      <c r="W1028" s="196" t="s">
        <v>298</v>
      </c>
      <c r="X1028" s="110"/>
      <c r="Y1028" s="188" t="e">
        <f>ROUND(Y1027/(Y$1021+Y$1023+Y$1025+Y$1027+Y$1029+Y$1031+Y$1033),3)</f>
        <v>#DIV/0!</v>
      </c>
      <c r="Z1028" s="189"/>
      <c r="AA1028" s="188" t="e">
        <f>ROUND(AA1027/(AA$1021+AA$1023+AA$1025+AA$1027+AA$1029+AA$1031+AA$1033),3)</f>
        <v>#DIV/0!</v>
      </c>
      <c r="AB1028" s="190"/>
      <c r="AC1028" s="188" t="e">
        <f>ROUND(AC1027/(AC$1021+AC$1023+AC$1025+AC$1027+AC$1029+AC$1031+AC$1033),3)</f>
        <v>#DIV/0!</v>
      </c>
      <c r="AD1028" s="191"/>
      <c r="AE1028" s="192" t="e">
        <f>ROUND(AE1027/(AE$1021+AE$1023+AE$1025+AE$1027+AE$1029+AE$1031+AE$1033),3)</f>
        <v>#DIV/0!</v>
      </c>
      <c r="AF1028" s="94"/>
      <c r="AG1028" s="188">
        <f>ROUND(AG1027/(AG$1021+AG$1023+AG$1025+AG$1027+AG$1031+AG$1033),3)</f>
        <v>2.8000000000000001E-2</v>
      </c>
      <c r="AH1028" s="191"/>
      <c r="AI1028" s="188">
        <f>ROUND(AI1027/(AI$1021+AI$1023+AI$1025+AI$1027+AI$1031+AI$1033),3)</f>
        <v>0.19700000000000001</v>
      </c>
      <c r="AJ1028" s="193"/>
      <c r="AK1028" s="188">
        <f>ROUND(AK1027/(AK$1021+AK$1023+AK$1025+AK$1027+AK$1031+AK$1033),3)</f>
        <v>8.0000000000000002E-3</v>
      </c>
      <c r="AL1028" s="194"/>
      <c r="AM1028" s="188">
        <f>ROUND(AM1027/(AM$1021+AM$1025+AM$1023+AM$1027+AM$1031+AM$1033),3)</f>
        <v>1.4E-2</v>
      </c>
      <c r="AN1028" s="177"/>
    </row>
    <row r="1029" spans="2:41" x14ac:dyDescent="0.15">
      <c r="B1029" s="434"/>
      <c r="C1029" s="434"/>
      <c r="D1029" s="434"/>
      <c r="E1029" s="434"/>
      <c r="F1029" s="48"/>
      <c r="G1029" s="48"/>
      <c r="H1029" s="48"/>
      <c r="I1029" s="48"/>
      <c r="J1029" s="100"/>
      <c r="K1029" s="78"/>
      <c r="L1029" s="78"/>
      <c r="M1029" s="78"/>
      <c r="N1029" s="100"/>
      <c r="O1029" s="78"/>
      <c r="P1029" s="78"/>
      <c r="Q1029" s="78"/>
      <c r="R1029" s="178"/>
      <c r="S1029" s="178"/>
      <c r="W1029" s="380" t="s">
        <v>299</v>
      </c>
      <c r="X1029" s="197"/>
      <c r="Y1029" s="179">
        <f>AA1029+AC1029+AE1029</f>
        <v>0</v>
      </c>
      <c r="Z1029" s="198"/>
      <c r="AA1029" s="57">
        <v>0</v>
      </c>
      <c r="AB1029" s="181"/>
      <c r="AC1029" s="182">
        <v>0</v>
      </c>
      <c r="AD1029" s="183"/>
      <c r="AE1029" s="184">
        <v>0</v>
      </c>
      <c r="AF1029" s="100"/>
      <c r="AG1029" s="388" t="s">
        <v>41</v>
      </c>
      <c r="AH1029" s="198"/>
      <c r="AI1029" s="388" t="s">
        <v>41</v>
      </c>
      <c r="AJ1029" s="199"/>
      <c r="AK1029" s="388" t="s">
        <v>41</v>
      </c>
      <c r="AL1029" s="200"/>
      <c r="AM1029" s="388" t="s">
        <v>41</v>
      </c>
      <c r="AN1029" s="177"/>
    </row>
    <row r="1030" spans="2:41" x14ac:dyDescent="0.15">
      <c r="B1030" s="434"/>
      <c r="C1030" s="434"/>
      <c r="D1030" s="434"/>
      <c r="E1030" s="434"/>
      <c r="F1030" s="48"/>
      <c r="G1030" s="48"/>
      <c r="H1030" s="48"/>
      <c r="I1030" s="48"/>
      <c r="J1030" s="100"/>
      <c r="K1030" s="78"/>
      <c r="L1030" s="78"/>
      <c r="M1030" s="78"/>
      <c r="N1030" s="100"/>
      <c r="O1030" s="78"/>
      <c r="P1030" s="78"/>
      <c r="Q1030" s="78"/>
      <c r="R1030" s="178"/>
      <c r="S1030" s="178"/>
      <c r="W1030" s="380"/>
      <c r="X1030" s="197"/>
      <c r="Y1030" s="188" t="e">
        <f>ROUND(Y1029/(Y$1021+Y$1023+Y$1025+Y$1027+Y$1029+Y$1031+Y$1033),3)</f>
        <v>#DIV/0!</v>
      </c>
      <c r="Z1030" s="189"/>
      <c r="AA1030" s="188" t="e">
        <f>ROUND(AA1029/(AA$1021+AA$1023+AA$1025+AA$1027+AA$1029+AA$1031+AA$1033),3)</f>
        <v>#DIV/0!</v>
      </c>
      <c r="AB1030" s="190"/>
      <c r="AC1030" s="188" t="e">
        <f>ROUND(AC1029/(AC$1021+AC$1023+AC$1025+AC$1027+AC$1029+AC$1031+AC$1033),3)</f>
        <v>#DIV/0!</v>
      </c>
      <c r="AD1030" s="191"/>
      <c r="AE1030" s="192" t="e">
        <f>ROUND(AE1029/(AE$1021+AE$1023+AE$1025+AE$1027+AE$1029+AE$1031+AE$1033),3)</f>
        <v>#DIV/0!</v>
      </c>
      <c r="AF1030" s="100"/>
      <c r="AG1030" s="389"/>
      <c r="AH1030" s="198"/>
      <c r="AI1030" s="389"/>
      <c r="AJ1030" s="199"/>
      <c r="AK1030" s="389"/>
      <c r="AL1030" s="200"/>
      <c r="AM1030" s="389"/>
      <c r="AN1030" s="177"/>
    </row>
    <row r="1031" spans="2:41" x14ac:dyDescent="0.15">
      <c r="B1031" s="433"/>
      <c r="C1031" s="433"/>
      <c r="D1031" s="433"/>
      <c r="E1031" s="433"/>
      <c r="F1031" s="48"/>
      <c r="G1031" s="48"/>
      <c r="H1031" s="48"/>
      <c r="I1031" s="48"/>
      <c r="J1031" s="147"/>
      <c r="K1031" s="52"/>
      <c r="L1031" s="52"/>
      <c r="M1031" s="102"/>
      <c r="N1031" s="147"/>
      <c r="O1031" s="52"/>
      <c r="P1031" s="52"/>
      <c r="Q1031" s="102"/>
      <c r="R1031" s="78"/>
      <c r="S1031" s="78"/>
      <c r="W1031" s="383" t="s">
        <v>300</v>
      </c>
      <c r="X1031" s="201"/>
      <c r="Y1031" s="179">
        <f>AA1031+AC1031+AE1031</f>
        <v>0</v>
      </c>
      <c r="Z1031" s="202"/>
      <c r="AA1031" s="57">
        <v>0</v>
      </c>
      <c r="AB1031" s="203"/>
      <c r="AC1031" s="182">
        <v>0</v>
      </c>
      <c r="AD1031" s="183"/>
      <c r="AE1031" s="184">
        <v>0</v>
      </c>
      <c r="AF1031" s="204"/>
      <c r="AG1031" s="185">
        <v>90</v>
      </c>
      <c r="AH1031" s="202"/>
      <c r="AI1031" s="57">
        <v>18</v>
      </c>
      <c r="AJ1031" s="203"/>
      <c r="AK1031" s="179">
        <v>37</v>
      </c>
      <c r="AL1031" s="205"/>
      <c r="AM1031" s="57">
        <v>35</v>
      </c>
      <c r="AN1031" s="187"/>
    </row>
    <row r="1032" spans="2:41" x14ac:dyDescent="0.15">
      <c r="B1032" s="433"/>
      <c r="C1032" s="433"/>
      <c r="D1032" s="433"/>
      <c r="E1032" s="433"/>
      <c r="F1032" s="48"/>
      <c r="G1032" s="48"/>
      <c r="H1032" s="48"/>
      <c r="I1032" s="48"/>
      <c r="J1032" s="147"/>
      <c r="K1032" s="78"/>
      <c r="L1032" s="78"/>
      <c r="M1032" s="78"/>
      <c r="N1032" s="147"/>
      <c r="O1032" s="78"/>
      <c r="P1032" s="78"/>
      <c r="Q1032" s="78"/>
      <c r="R1032" s="78"/>
      <c r="S1032" s="78"/>
      <c r="W1032" s="383"/>
      <c r="X1032" s="206"/>
      <c r="Y1032" s="188" t="e">
        <f>ROUND(Y1031/(Y$1021+Y$1023+Y$1025+Y$1027+Y$1029+Y$1031+Y$1033),3)</f>
        <v>#DIV/0!</v>
      </c>
      <c r="Z1032" s="189"/>
      <c r="AA1032" s="188" t="e">
        <f>ROUND(AA1031/(AA$1021+AA$1023+AA$1025+AA$1027+AA$1029+AA$1031+AA$1033),3)</f>
        <v>#DIV/0!</v>
      </c>
      <c r="AB1032" s="190"/>
      <c r="AC1032" s="188" t="e">
        <f>ROUND(AC1031/(AC$1021+AC$1023+AC$1025+AC$1027+AC$1029+AC$1031+AC$1033),3)</f>
        <v>#DIV/0!</v>
      </c>
      <c r="AD1032" s="191"/>
      <c r="AE1032" s="192" t="e">
        <f>ROUND(AE1031/(AE$1021+AE$1023+AE$1025+AE$1027+AE$1029+AE$1031+AE$1033),3)</f>
        <v>#DIV/0!</v>
      </c>
      <c r="AF1032" s="207"/>
      <c r="AG1032" s="188">
        <f>ROUND(AG1031/(AG$1021+AG$1023+AG$1025+AG$1027+AG$1031+AG$1033),3)</f>
        <v>0.11899999999999999</v>
      </c>
      <c r="AH1032" s="191"/>
      <c r="AI1032" s="188">
        <f>ROUND(AI1031/(AI$1021+AI$1023+AI$1025+AI$1027+AI$1031+AI$1033),3)</f>
        <v>0.27300000000000002</v>
      </c>
      <c r="AJ1032" s="190"/>
      <c r="AK1032" s="188">
        <f>ROUND(AK1031/(AK$1021+AK$1023+AK$1025+AK$1027+AK$1031+AK$1033),3)</f>
        <v>0.14099999999999999</v>
      </c>
      <c r="AL1032" s="191"/>
      <c r="AM1032" s="188">
        <f>ROUND(AM1031/(AM$1021+AM$1025+AM$1023+AM$1027+AM$1031+AM$1033),3)</f>
        <v>8.2000000000000003E-2</v>
      </c>
      <c r="AN1032" s="177"/>
    </row>
    <row r="1033" spans="2:41" x14ac:dyDescent="0.15">
      <c r="B1033" s="433"/>
      <c r="C1033" s="433"/>
      <c r="D1033" s="433"/>
      <c r="E1033" s="433"/>
      <c r="F1033" s="48"/>
      <c r="G1033" s="48"/>
      <c r="H1033" s="48"/>
      <c r="I1033" s="48"/>
      <c r="J1033" s="147"/>
      <c r="K1033" s="52"/>
      <c r="L1033" s="52"/>
      <c r="M1033" s="102"/>
      <c r="N1033" s="147"/>
      <c r="O1033" s="52"/>
      <c r="P1033" s="52"/>
      <c r="Q1033" s="102"/>
      <c r="R1033" s="78"/>
      <c r="S1033" s="78"/>
      <c r="W1033" s="383" t="s">
        <v>301</v>
      </c>
      <c r="X1033" s="201"/>
      <c r="Y1033" s="179">
        <f>AA1033+AC1033+AE1033</f>
        <v>0</v>
      </c>
      <c r="Z1033" s="202"/>
      <c r="AA1033" s="57">
        <v>0</v>
      </c>
      <c r="AB1033" s="203"/>
      <c r="AC1033" s="182">
        <v>0</v>
      </c>
      <c r="AD1033" s="183"/>
      <c r="AE1033" s="184">
        <v>0</v>
      </c>
      <c r="AF1033" s="204"/>
      <c r="AG1033" s="185">
        <v>54</v>
      </c>
      <c r="AH1033" s="202"/>
      <c r="AI1033" s="57">
        <v>5</v>
      </c>
      <c r="AJ1033" s="203"/>
      <c r="AK1033" s="179">
        <v>18</v>
      </c>
      <c r="AL1033" s="205"/>
      <c r="AM1033" s="57">
        <v>31</v>
      </c>
      <c r="AN1033" s="187"/>
    </row>
    <row r="1034" spans="2:41" x14ac:dyDescent="0.15">
      <c r="B1034" s="433"/>
      <c r="C1034" s="433"/>
      <c r="D1034" s="433"/>
      <c r="E1034" s="433"/>
      <c r="F1034" s="48"/>
      <c r="G1034" s="48"/>
      <c r="H1034" s="48"/>
      <c r="I1034" s="48"/>
      <c r="J1034" s="147"/>
      <c r="K1034" s="78"/>
      <c r="L1034" s="78"/>
      <c r="M1034" s="78"/>
      <c r="N1034" s="147"/>
      <c r="O1034" s="78"/>
      <c r="P1034" s="78"/>
      <c r="Q1034" s="78"/>
      <c r="R1034" s="78"/>
      <c r="S1034" s="78"/>
      <c r="W1034" s="383"/>
      <c r="X1034" s="206"/>
      <c r="Y1034" s="188" t="e">
        <f>ROUND(Y1033/(Y$1021+Y$1023+Y$1025+Y$1027+Y$1029+Y$1031+Y$1033),3)</f>
        <v>#DIV/0!</v>
      </c>
      <c r="Z1034" s="189"/>
      <c r="AA1034" s="188" t="e">
        <f>ROUND(AA1033/(AA$1021+AA$1023+AA$1025+AA$1027+AA$1029+AA$1031+AA$1033),3)</f>
        <v>#DIV/0!</v>
      </c>
      <c r="AB1034" s="190"/>
      <c r="AC1034" s="188" t="e">
        <f>ROUND(AC1033/(AC$1021+AC$1023+AC$1025+AC$1027+AC$1029+AC$1031+AC$1033),3)</f>
        <v>#DIV/0!</v>
      </c>
      <c r="AD1034" s="191"/>
      <c r="AE1034" s="192" t="e">
        <f>ROUND(AE1033/(AE$1021+AE$1023+AE$1025+AE$1027+AE$1029+AE$1031+AE$1033),3)</f>
        <v>#DIV/0!</v>
      </c>
      <c r="AF1034" s="207"/>
      <c r="AG1034" s="188">
        <f>ROUND(AG1033/(AG$1021+AG$1023+AG$1025+AG$1027+AG$1031+AG$1033),3)</f>
        <v>7.0999999999999994E-2</v>
      </c>
      <c r="AH1034" s="191"/>
      <c r="AI1034" s="188">
        <f>ROUND(AI1033/(AI$1021+AI$1023+AI$1025+AI$1027+AI$1031+AI$1033),3)</f>
        <v>7.5999999999999998E-2</v>
      </c>
      <c r="AJ1034" s="190"/>
      <c r="AK1034" s="188">
        <f>ROUND(AK1033/(AK$1021+AK$1023+AK$1025+AK$1027+AK$1031+AK$1033),3)</f>
        <v>6.8000000000000005E-2</v>
      </c>
      <c r="AL1034" s="191"/>
      <c r="AM1034" s="188">
        <f>ROUND(AM1033/(AM$1021+AM$1025+AM$1023+AM$1027+AM$1031+AM$1033),3)</f>
        <v>7.1999999999999995E-2</v>
      </c>
      <c r="AN1034" s="177"/>
    </row>
    <row r="1035" spans="2:41" x14ac:dyDescent="0.15">
      <c r="B1035" s="422"/>
      <c r="C1035" s="422"/>
      <c r="D1035" s="422"/>
      <c r="E1035" s="422"/>
      <c r="F1035" s="48"/>
      <c r="G1035" s="48"/>
      <c r="H1035" s="48"/>
      <c r="I1035" s="48"/>
      <c r="J1035" s="52"/>
      <c r="K1035" s="102"/>
      <c r="L1035" s="102"/>
      <c r="M1035" s="102"/>
      <c r="N1035" s="52"/>
      <c r="O1035" s="102"/>
      <c r="P1035" s="102"/>
      <c r="Q1035" s="102"/>
      <c r="R1035" s="102"/>
      <c r="S1035" s="102"/>
      <c r="W1035" s="426" t="s">
        <v>53</v>
      </c>
      <c r="X1035" s="119"/>
      <c r="Y1035" s="182">
        <f>Y1021+Y1023+Y1025+Y1027+Y1033+Y1031+Y1029</f>
        <v>0</v>
      </c>
      <c r="Z1035" s="183"/>
      <c r="AA1035" s="57">
        <f>AA1021+AA1023+AA1025+AA1027+AA1033+AA1031</f>
        <v>0</v>
      </c>
      <c r="AB1035" s="63"/>
      <c r="AC1035" s="182">
        <f>AC1021+AC1023+AC1025+AC1027+AC1033+AC1031</f>
        <v>0</v>
      </c>
      <c r="AD1035" s="183"/>
      <c r="AE1035" s="184">
        <f>AE1021+AE1023+AE1025+AE1027+AE1033+AE1031</f>
        <v>0</v>
      </c>
      <c r="AF1035" s="87"/>
      <c r="AG1035" s="182">
        <f>AG1021+AG1023+AG1025+AG1027+AG1033+AG1031</f>
        <v>757</v>
      </c>
      <c r="AH1035" s="183"/>
      <c r="AI1035" s="57">
        <f>AI1021+AI1023+AI1025+AI1027+AI1033+AI1031</f>
        <v>66</v>
      </c>
      <c r="AJ1035" s="63"/>
      <c r="AK1035" s="182">
        <f>AK1021+AK1023+AK1025+AK1027+AK1033+AK1031</f>
        <v>263</v>
      </c>
      <c r="AL1035" s="183"/>
      <c r="AM1035" s="57">
        <f>AM1021+AM1023+AM1025+AM1027+AM1033+AM1031</f>
        <v>428</v>
      </c>
      <c r="AN1035" s="187"/>
    </row>
    <row r="1036" spans="2:41" ht="14.25" thickBot="1" x14ac:dyDescent="0.2">
      <c r="B1036" s="422"/>
      <c r="C1036" s="422"/>
      <c r="D1036" s="422"/>
      <c r="E1036" s="422"/>
      <c r="F1036" s="48"/>
      <c r="G1036" s="48"/>
      <c r="H1036" s="48"/>
      <c r="I1036" s="48"/>
      <c r="J1036" s="52"/>
      <c r="K1036" s="208"/>
      <c r="L1036" s="208"/>
      <c r="M1036" s="208"/>
      <c r="N1036" s="52"/>
      <c r="O1036" s="208"/>
      <c r="P1036" s="208"/>
      <c r="Q1036" s="208"/>
      <c r="R1036" s="208"/>
      <c r="S1036" s="208"/>
      <c r="W1036" s="426"/>
      <c r="X1036" s="209"/>
      <c r="Y1036" s="210" t="e">
        <f>Y1022+Y1024+Y1026+Y1028+Y1034+Y1032+Y1030</f>
        <v>#DIV/0!</v>
      </c>
      <c r="Z1036" s="211"/>
      <c r="AA1036" s="212" t="e">
        <f>AA1022+AA1024+AA1026+AA1028+AA1034+AA1032+AA1030</f>
        <v>#DIV/0!</v>
      </c>
      <c r="AB1036" s="213"/>
      <c r="AC1036" s="210" t="e">
        <f>AC1022+AC1024+AC1026+AC1028+AC1034+AC1032+AC1030</f>
        <v>#DIV/0!</v>
      </c>
      <c r="AD1036" s="211"/>
      <c r="AE1036" s="214" t="e">
        <f>AE1022+AE1024+AE1026+AE1028+AE1034+AE1032+AE1030</f>
        <v>#DIV/0!</v>
      </c>
      <c r="AF1036" s="215"/>
      <c r="AG1036" s="216">
        <f>AG1022+AG1024+AG1026+AG1028+AG1034+AG1032</f>
        <v>1</v>
      </c>
      <c r="AH1036" s="217"/>
      <c r="AI1036" s="218">
        <f>AI1022+AI1024+AI1026+AI1028+AI1034+AI1032</f>
        <v>1</v>
      </c>
      <c r="AJ1036" s="219"/>
      <c r="AK1036" s="216">
        <f>AK1022+AK1024+AK1026+AK1028+AK1034+AK1032</f>
        <v>1</v>
      </c>
      <c r="AL1036" s="217"/>
      <c r="AM1036" s="218">
        <f>AM1022+AM1024+AM1026+AM1028+AM1034+AM1032</f>
        <v>1</v>
      </c>
      <c r="AN1036" s="220"/>
    </row>
    <row r="1037" spans="2:41" x14ac:dyDescent="0.15">
      <c r="D1037" s="100"/>
      <c r="E1037" s="100"/>
      <c r="F1037" s="100"/>
      <c r="G1037" s="100"/>
      <c r="H1037" s="100"/>
      <c r="I1037" s="100"/>
      <c r="J1037" s="52"/>
      <c r="K1037" s="90"/>
      <c r="L1037" s="90"/>
      <c r="M1037" s="90"/>
      <c r="N1037" s="52"/>
      <c r="O1037" s="90"/>
      <c r="P1037" s="90"/>
      <c r="Q1037" s="90"/>
      <c r="R1037" s="90"/>
      <c r="S1037" s="90"/>
      <c r="AL1037" s="63"/>
      <c r="AM1037" s="63"/>
      <c r="AN1037" s="187"/>
    </row>
    <row r="1038" spans="2:41" x14ac:dyDescent="0.15">
      <c r="D1038" s="100"/>
      <c r="E1038" s="100"/>
      <c r="F1038" s="100"/>
      <c r="G1038" s="100"/>
      <c r="H1038" s="100"/>
      <c r="I1038" s="100"/>
      <c r="J1038" s="52"/>
      <c r="K1038" s="90"/>
      <c r="L1038" s="90"/>
      <c r="M1038" s="90"/>
      <c r="N1038" s="52"/>
      <c r="O1038" s="90"/>
      <c r="P1038" s="90"/>
      <c r="Q1038" s="90"/>
      <c r="R1038" s="90"/>
      <c r="S1038" s="90"/>
      <c r="AL1038" s="208"/>
      <c r="AM1038" s="208"/>
      <c r="AN1038" s="220"/>
    </row>
    <row r="1039" spans="2:41" ht="14.25" thickBot="1" x14ac:dyDescent="0.2">
      <c r="D1039" s="100"/>
      <c r="E1039" s="100"/>
      <c r="F1039" s="100"/>
      <c r="G1039" s="100"/>
      <c r="H1039" s="100"/>
      <c r="I1039" s="100"/>
      <c r="J1039" s="52"/>
      <c r="K1039" s="90"/>
      <c r="L1039" s="90"/>
      <c r="M1039" s="90"/>
      <c r="N1039" s="52"/>
      <c r="O1039" s="90"/>
      <c r="P1039" s="90"/>
      <c r="Q1039" s="90"/>
      <c r="R1039" s="90"/>
      <c r="S1039" s="90"/>
      <c r="W1039" s="174" t="s">
        <v>302</v>
      </c>
      <c r="X1039" s="2"/>
      <c r="Y1039" s="2"/>
      <c r="Z1039" s="2"/>
      <c r="AA1039" s="2"/>
      <c r="AB1039" s="2"/>
      <c r="AC1039" s="11"/>
      <c r="AD1039" s="2"/>
      <c r="AE1039" s="2"/>
      <c r="AF1039" s="2"/>
      <c r="AG1039" s="2"/>
      <c r="AH1039" s="2"/>
      <c r="AI1039" s="2"/>
      <c r="AJ1039" s="2"/>
      <c r="AK1039" s="2"/>
      <c r="AL1039" s="2"/>
      <c r="AM1039" s="2"/>
      <c r="AN1039" s="146"/>
    </row>
    <row r="1040" spans="2:41" x14ac:dyDescent="0.15">
      <c r="D1040" s="100"/>
      <c r="E1040" s="100"/>
      <c r="F1040" s="100"/>
      <c r="G1040" s="100"/>
      <c r="H1040" s="100"/>
      <c r="I1040" s="100"/>
      <c r="J1040" s="52"/>
      <c r="K1040" s="90"/>
      <c r="L1040" s="90"/>
      <c r="M1040" s="90"/>
      <c r="N1040" s="52"/>
      <c r="O1040" s="90"/>
      <c r="P1040" s="90"/>
      <c r="Q1040" s="90"/>
      <c r="R1040" s="90"/>
      <c r="S1040" s="90"/>
      <c r="W1040" s="2"/>
      <c r="X1040" s="175"/>
      <c r="Y1040" s="384" t="s">
        <v>273</v>
      </c>
      <c r="Z1040" s="384"/>
      <c r="AA1040" s="384"/>
      <c r="AB1040" s="384"/>
      <c r="AC1040" s="384"/>
      <c r="AD1040" s="384"/>
      <c r="AE1040" s="385"/>
      <c r="AF1040" s="145"/>
      <c r="AG1040" s="386" t="s">
        <v>274</v>
      </c>
      <c r="AH1040" s="386"/>
      <c r="AI1040" s="386"/>
      <c r="AJ1040" s="386"/>
      <c r="AK1040" s="386"/>
      <c r="AL1040" s="386"/>
      <c r="AM1040" s="387"/>
      <c r="AN1040" s="378" t="s">
        <v>303</v>
      </c>
      <c r="AO1040" s="379"/>
    </row>
    <row r="1041" spans="2:41" x14ac:dyDescent="0.15">
      <c r="D1041" s="100"/>
      <c r="E1041" s="100"/>
      <c r="F1041" s="100"/>
      <c r="G1041" s="100"/>
      <c r="H1041" s="100"/>
      <c r="I1041" s="100"/>
      <c r="J1041" s="52"/>
      <c r="K1041" s="90"/>
      <c r="L1041" s="90"/>
      <c r="M1041" s="90"/>
      <c r="N1041" s="52"/>
      <c r="O1041" s="90"/>
      <c r="P1041" s="90"/>
      <c r="Q1041" s="90"/>
      <c r="R1041" s="90"/>
      <c r="S1041" s="90"/>
      <c r="W1041" s="2"/>
      <c r="X1041" s="110"/>
      <c r="Y1041" s="19"/>
      <c r="Z1041" s="394" t="s">
        <v>29</v>
      </c>
      <c r="AA1041" s="394"/>
      <c r="AB1041" s="408" t="s">
        <v>30</v>
      </c>
      <c r="AC1041" s="396"/>
      <c r="AD1041" s="376" t="s">
        <v>31</v>
      </c>
      <c r="AE1041" s="409"/>
      <c r="AF1041" s="110"/>
      <c r="AG1041" s="19"/>
      <c r="AH1041" s="394" t="s">
        <v>29</v>
      </c>
      <c r="AI1041" s="394"/>
      <c r="AJ1041" s="395" t="s">
        <v>30</v>
      </c>
      <c r="AK1041" s="396"/>
      <c r="AL1041" s="376" t="s">
        <v>31</v>
      </c>
      <c r="AM1041" s="377"/>
      <c r="AN1041" s="378" t="s">
        <v>289</v>
      </c>
      <c r="AO1041" s="379"/>
    </row>
    <row r="1042" spans="2:41" x14ac:dyDescent="0.15">
      <c r="D1042" s="100"/>
      <c r="E1042" s="100"/>
      <c r="F1042" s="100"/>
      <c r="G1042" s="100"/>
      <c r="H1042" s="100"/>
      <c r="I1042" s="100"/>
      <c r="J1042" s="52"/>
      <c r="K1042" s="90"/>
      <c r="L1042" s="90"/>
      <c r="M1042" s="90"/>
      <c r="N1042" s="52"/>
      <c r="O1042" s="90"/>
      <c r="P1042" s="90"/>
      <c r="Q1042" s="90"/>
      <c r="R1042" s="90"/>
      <c r="S1042" s="90"/>
      <c r="W1042" s="380" t="s">
        <v>304</v>
      </c>
      <c r="X1042" s="145"/>
      <c r="Y1042" s="179">
        <f>AA1042+AC1042+AE1042</f>
        <v>0</v>
      </c>
      <c r="Z1042" s="180"/>
      <c r="AA1042" s="57">
        <v>0</v>
      </c>
      <c r="AB1042" s="221"/>
      <c r="AC1042" s="182">
        <v>0</v>
      </c>
      <c r="AD1042" s="183"/>
      <c r="AE1042" s="184">
        <v>0</v>
      </c>
      <c r="AF1042" s="145"/>
      <c r="AG1042" s="392"/>
      <c r="AH1042" s="180"/>
      <c r="AI1042" s="392"/>
      <c r="AJ1042" s="221"/>
      <c r="AK1042" s="392"/>
      <c r="AL1042" s="183"/>
      <c r="AM1042" s="392"/>
      <c r="AN1042" s="222"/>
      <c r="AO1042" s="429"/>
    </row>
    <row r="1043" spans="2:41" x14ac:dyDescent="0.15">
      <c r="D1043" s="100"/>
      <c r="E1043" s="100"/>
      <c r="F1043" s="100"/>
      <c r="G1043" s="100"/>
      <c r="H1043" s="100"/>
      <c r="I1043" s="100"/>
      <c r="J1043" s="52"/>
      <c r="K1043" s="90"/>
      <c r="L1043" s="90"/>
      <c r="M1043" s="90"/>
      <c r="N1043" s="52"/>
      <c r="O1043" s="90"/>
      <c r="P1043" s="90"/>
      <c r="Q1043" s="90"/>
      <c r="R1043" s="90"/>
      <c r="S1043" s="90"/>
      <c r="W1043" s="380"/>
      <c r="X1043" s="110"/>
      <c r="Y1043" s="188" t="e">
        <f>ROUND(Y1042/(Y$1042+Y$1044+Y$1046+Y$1048+Y$1050+Y$1052+Y$1054+Y$1056),3)</f>
        <v>#DIV/0!</v>
      </c>
      <c r="Z1043" s="189"/>
      <c r="AA1043" s="188" t="e">
        <f>ROUND(AA1042/(AA$1042+AA$1044+AA$1046+AA$1048+AA$1050+AA$1052+AA$1054+AA$1056),3)</f>
        <v>#DIV/0!</v>
      </c>
      <c r="AB1043" s="159"/>
      <c r="AC1043" s="188" t="e">
        <f>ROUND(AC1042/(AC$1042+AC$1044+AC$1046+AC$1048+AC$1050+AC$1052+AC$1054+AC$1056),3)</f>
        <v>#DIV/0!</v>
      </c>
      <c r="AD1043" s="191"/>
      <c r="AE1043" s="192" t="e">
        <f>ROUND(AE1042/(AE$1042+AE$1044+AE$1046+AE$1048+AE$1050+AE$1052+AE$1054+AE$1056),3)</f>
        <v>#DIV/0!</v>
      </c>
      <c r="AF1043" s="110"/>
      <c r="AG1043" s="393"/>
      <c r="AH1043" s="189"/>
      <c r="AI1043" s="393"/>
      <c r="AJ1043" s="159"/>
      <c r="AK1043" s="393"/>
      <c r="AL1043" s="191"/>
      <c r="AM1043" s="393"/>
      <c r="AN1043" s="223"/>
      <c r="AO1043" s="430"/>
    </row>
    <row r="1044" spans="2:41" x14ac:dyDescent="0.15">
      <c r="D1044" s="100"/>
      <c r="E1044" s="100"/>
      <c r="F1044" s="100"/>
      <c r="G1044" s="100"/>
      <c r="H1044" s="100"/>
      <c r="I1044" s="100"/>
      <c r="J1044" s="52"/>
      <c r="K1044" s="90"/>
      <c r="L1044" s="90"/>
      <c r="M1044" s="90"/>
      <c r="N1044" s="52"/>
      <c r="O1044" s="90"/>
      <c r="P1044" s="90"/>
      <c r="Q1044" s="90"/>
      <c r="R1044" s="90"/>
      <c r="S1044" s="90"/>
      <c r="W1044" s="224" t="s">
        <v>305</v>
      </c>
      <c r="X1044" s="145"/>
      <c r="Y1044" s="179">
        <f>AA1044+AC1044+AE1044</f>
        <v>0</v>
      </c>
      <c r="Z1044" s="180"/>
      <c r="AA1044" s="57">
        <v>0</v>
      </c>
      <c r="AB1044" s="221"/>
      <c r="AC1044" s="182">
        <v>0</v>
      </c>
      <c r="AD1044" s="183"/>
      <c r="AE1044" s="184">
        <v>0</v>
      </c>
      <c r="AF1044" s="145"/>
      <c r="AG1044" s="179"/>
      <c r="AH1044" s="180"/>
      <c r="AI1044" s="57"/>
      <c r="AJ1044" s="221"/>
      <c r="AK1044" s="182"/>
      <c r="AL1044" s="183"/>
      <c r="AM1044" s="179"/>
      <c r="AN1044" s="222"/>
      <c r="AO1044" s="179"/>
    </row>
    <row r="1045" spans="2:41" x14ac:dyDescent="0.15">
      <c r="D1045" s="100"/>
      <c r="E1045" s="100"/>
      <c r="F1045" s="100"/>
      <c r="G1045" s="100"/>
      <c r="H1045" s="100"/>
      <c r="I1045" s="100"/>
      <c r="J1045" s="52"/>
      <c r="K1045" s="90"/>
      <c r="L1045" s="90"/>
      <c r="M1045" s="90"/>
      <c r="N1045" s="52"/>
      <c r="O1045" s="90"/>
      <c r="P1045" s="90"/>
      <c r="Q1045" s="90"/>
      <c r="R1045" s="90"/>
      <c r="S1045" s="90"/>
      <c r="W1045" s="225" t="s">
        <v>306</v>
      </c>
      <c r="X1045" s="110"/>
      <c r="Y1045" s="188" t="e">
        <f>ROUND(Y1044/(Y$1042+Y$1044+Y$1046+Y$1048+Y$1050+Y$1052+Y$1054+Y$1056),3)</f>
        <v>#DIV/0!</v>
      </c>
      <c r="Z1045" s="189"/>
      <c r="AA1045" s="188" t="e">
        <f>ROUND(AA1044/(AA$1042+AA$1044+AA$1046+AA$1048+AA$1050+AA$1052+AA$1054+AA$1056),3)</f>
        <v>#DIV/0!</v>
      </c>
      <c r="AB1045" s="159"/>
      <c r="AC1045" s="188" t="e">
        <f>ROUND(AC1044/(AC$1042+AC$1044+AC$1046+AC$1048+AC$1050+AC$1052+AC$1054+AC$1056),3)</f>
        <v>#DIV/0!</v>
      </c>
      <c r="AD1045" s="191"/>
      <c r="AE1045" s="192" t="e">
        <f>ROUND(AE1044/(AE$1021+AE$1023+AE$1025+AE$1027+AE$1029+AE$1031+AE$1033),3)</f>
        <v>#DIV/0!</v>
      </c>
      <c r="AF1045" s="110"/>
      <c r="AG1045" s="188"/>
      <c r="AH1045" s="189"/>
      <c r="AI1045" s="188"/>
      <c r="AJ1045" s="159"/>
      <c r="AK1045" s="188"/>
      <c r="AL1045" s="191"/>
      <c r="AM1045" s="188"/>
      <c r="AN1045" s="226"/>
      <c r="AO1045" s="188"/>
    </row>
    <row r="1046" spans="2:41" x14ac:dyDescent="0.15">
      <c r="D1046" s="100"/>
      <c r="E1046" s="100"/>
      <c r="F1046" s="100"/>
      <c r="G1046" s="100"/>
      <c r="H1046" s="100"/>
      <c r="I1046" s="100"/>
      <c r="J1046" s="52"/>
      <c r="K1046" s="90"/>
      <c r="L1046" s="90"/>
      <c r="M1046" s="90"/>
      <c r="N1046" s="52"/>
      <c r="O1046" s="90"/>
      <c r="P1046" s="90"/>
      <c r="Q1046" s="90"/>
      <c r="R1046" s="90"/>
      <c r="S1046" s="90"/>
      <c r="W1046" s="227" t="s">
        <v>307</v>
      </c>
      <c r="X1046" s="145"/>
      <c r="Y1046" s="179">
        <f>AA1046+AC1046+AE1046</f>
        <v>0</v>
      </c>
      <c r="Z1046" s="180"/>
      <c r="AA1046" s="57">
        <v>0</v>
      </c>
      <c r="AB1046" s="221"/>
      <c r="AC1046" s="182">
        <v>0</v>
      </c>
      <c r="AD1046" s="183"/>
      <c r="AE1046" s="184">
        <v>0</v>
      </c>
      <c r="AF1046" s="145"/>
      <c r="AG1046" s="179"/>
      <c r="AH1046" s="180"/>
      <c r="AI1046" s="57"/>
      <c r="AJ1046" s="221"/>
      <c r="AK1046" s="182"/>
      <c r="AL1046" s="183"/>
      <c r="AM1046" s="179"/>
      <c r="AN1046" s="222"/>
      <c r="AO1046" s="179"/>
    </row>
    <row r="1047" spans="2:41" x14ac:dyDescent="0.15">
      <c r="K1047" s="72"/>
      <c r="O1047" s="72"/>
      <c r="W1047" s="228" t="s">
        <v>308</v>
      </c>
      <c r="X1047" s="110"/>
      <c r="Y1047" s="188" t="e">
        <f>ROUND(Y1046/(Y$1042+Y$1044+Y$1046+Y$1048+Y$1050+Y$1052+Y$1054+Y$1056),3)</f>
        <v>#DIV/0!</v>
      </c>
      <c r="Z1047" s="189"/>
      <c r="AA1047" s="188" t="e">
        <f>ROUND(AA1046/(AA$1042+AA$1044+AA$1046+AA$1048+AA$1050+AA$1052+AA$1054+AA$1056),3)</f>
        <v>#DIV/0!</v>
      </c>
      <c r="AB1047" s="159"/>
      <c r="AC1047" s="188" t="e">
        <f>ROUND(AC1046/(AC$1042+AC$1044+AC$1046+AC$1048+AC$1050+AC$1052+AC$1054+AC$1056),3)</f>
        <v>#DIV/0!</v>
      </c>
      <c r="AD1047" s="191"/>
      <c r="AE1047" s="192" t="e">
        <f>ROUND(AE1046/(AE$1042+AE$1044+AE$1046+AE$1048+AE$1050+AE$1052+AE$1054+AE$1056),3)</f>
        <v>#DIV/0!</v>
      </c>
      <c r="AF1047" s="110"/>
      <c r="AG1047" s="188"/>
      <c r="AH1047" s="189"/>
      <c r="AI1047" s="188"/>
      <c r="AJ1047" s="159"/>
      <c r="AK1047" s="188"/>
      <c r="AL1047" s="191"/>
      <c r="AM1047" s="188"/>
      <c r="AN1047" s="229"/>
      <c r="AO1047" s="188"/>
    </row>
    <row r="1048" spans="2:41" x14ac:dyDescent="0.15">
      <c r="B1048" s="2" t="s">
        <v>309</v>
      </c>
      <c r="C1048" s="2" t="s">
        <v>310</v>
      </c>
      <c r="W1048" s="195" t="s">
        <v>311</v>
      </c>
      <c r="X1048" s="145"/>
      <c r="Y1048" s="179">
        <f>AA1048+AC1048+AE1048</f>
        <v>0</v>
      </c>
      <c r="Z1048" s="180"/>
      <c r="AA1048" s="57">
        <v>0</v>
      </c>
      <c r="AB1048" s="221"/>
      <c r="AC1048" s="182">
        <v>0</v>
      </c>
      <c r="AD1048" s="183"/>
      <c r="AE1048" s="184">
        <v>0</v>
      </c>
      <c r="AF1048" s="145"/>
      <c r="AG1048" s="179"/>
      <c r="AH1048" s="180"/>
      <c r="AI1048" s="57"/>
      <c r="AJ1048" s="221"/>
      <c r="AK1048" s="182"/>
      <c r="AL1048" s="183"/>
      <c r="AM1048" s="179"/>
      <c r="AN1048" s="222"/>
      <c r="AO1048" s="179"/>
    </row>
    <row r="1049" spans="2:41" x14ac:dyDescent="0.15">
      <c r="D1049" s="411"/>
      <c r="E1049" s="412"/>
      <c r="F1049" s="412"/>
      <c r="G1049" s="412"/>
      <c r="H1049" s="412"/>
      <c r="I1049" s="413"/>
      <c r="J1049" s="399" t="s">
        <v>274</v>
      </c>
      <c r="K1049" s="386"/>
      <c r="L1049" s="386"/>
      <c r="M1049" s="386"/>
      <c r="N1049" s="386"/>
      <c r="O1049" s="386"/>
      <c r="P1049" s="386"/>
      <c r="Q1049" s="386"/>
      <c r="R1049" s="386"/>
      <c r="S1049" s="100"/>
      <c r="W1049" s="196" t="s">
        <v>312</v>
      </c>
      <c r="X1049" s="110"/>
      <c r="Y1049" s="188" t="e">
        <f>ROUND(Y1048/(Y$1042+Y$1044+Y$1046+Y$1048+Y$1050+Y$1052+Y$1054+Y$1056),3)</f>
        <v>#DIV/0!</v>
      </c>
      <c r="Z1049" s="189"/>
      <c r="AA1049" s="188" t="e">
        <f>ROUND(AA1048/(AA$1042+AA$1044+AA$1046+AA$1048+AA$1050+AA$1052+AA$1054+AA$1056),3)</f>
        <v>#DIV/0!</v>
      </c>
      <c r="AB1049" s="159"/>
      <c r="AC1049" s="188" t="e">
        <f>ROUND(AC1048/(AC$1042+AC$1044+AC$1046+AC$1048+AC$1050+AC$1052+AC$1054+AC$1056),3)</f>
        <v>#DIV/0!</v>
      </c>
      <c r="AD1049" s="191"/>
      <c r="AE1049" s="192" t="e">
        <f>ROUND(AE1048/(AE$1042+AE$1044+AE$1046+AE$1048+AE$1050+AE$1052+AE$1054+AE$1056),3)</f>
        <v>#DIV/0!</v>
      </c>
      <c r="AF1049" s="110"/>
      <c r="AG1049" s="188"/>
      <c r="AH1049" s="189"/>
      <c r="AI1049" s="188"/>
      <c r="AJ1049" s="159"/>
      <c r="AK1049" s="188"/>
      <c r="AL1049" s="191"/>
      <c r="AM1049" s="188"/>
      <c r="AN1049" s="229"/>
      <c r="AO1049" s="188"/>
    </row>
    <row r="1050" spans="2:41" ht="13.5" customHeight="1" x14ac:dyDescent="0.15">
      <c r="D1050" s="414"/>
      <c r="E1050" s="415"/>
      <c r="F1050" s="415"/>
      <c r="G1050" s="415"/>
      <c r="H1050" s="415"/>
      <c r="I1050" s="416"/>
      <c r="J1050" s="230"/>
      <c r="K1050" s="19"/>
      <c r="L1050" s="394" t="s">
        <v>29</v>
      </c>
      <c r="M1050" s="394"/>
      <c r="N1050" s="230"/>
      <c r="O1050" s="19"/>
      <c r="P1050" s="394" t="s">
        <v>29</v>
      </c>
      <c r="Q1050" s="394"/>
      <c r="R1050" s="15" t="s">
        <v>31</v>
      </c>
      <c r="S1050" s="101"/>
      <c r="W1050" s="381" t="s">
        <v>313</v>
      </c>
      <c r="X1050" s="197"/>
      <c r="Y1050" s="179">
        <f>AA1050+AC1050+AE1050</f>
        <v>0</v>
      </c>
      <c r="Z1050" s="198"/>
      <c r="AA1050" s="57">
        <v>0</v>
      </c>
      <c r="AB1050" s="221"/>
      <c r="AC1050" s="182">
        <v>0</v>
      </c>
      <c r="AD1050" s="183"/>
      <c r="AE1050" s="184">
        <v>0</v>
      </c>
      <c r="AF1050" s="197"/>
      <c r="AG1050" s="179"/>
      <c r="AH1050" s="198"/>
      <c r="AI1050" s="57"/>
      <c r="AJ1050" s="221"/>
      <c r="AK1050" s="182"/>
      <c r="AL1050" s="183"/>
      <c r="AM1050" s="179"/>
      <c r="AN1050" s="222"/>
      <c r="AO1050" s="179"/>
    </row>
    <row r="1051" spans="2:41" x14ac:dyDescent="0.15">
      <c r="C1051" s="231">
        <v>2</v>
      </c>
      <c r="D1051" s="399"/>
      <c r="E1051" s="401" t="s">
        <v>314</v>
      </c>
      <c r="F1051" s="401"/>
      <c r="G1051" s="401"/>
      <c r="H1051" s="401"/>
      <c r="I1051" s="402"/>
      <c r="J1051" s="232">
        <v>1</v>
      </c>
      <c r="K1051" s="185">
        <v>232</v>
      </c>
      <c r="L1051" s="233">
        <v>2</v>
      </c>
      <c r="M1051" s="81">
        <v>17</v>
      </c>
      <c r="N1051" s="232">
        <v>1</v>
      </c>
      <c r="O1051" s="185">
        <v>232</v>
      </c>
      <c r="P1051" s="233">
        <v>2</v>
      </c>
      <c r="Q1051" s="81">
        <v>17</v>
      </c>
      <c r="R1051" s="202">
        <v>1</v>
      </c>
      <c r="S1051" s="52"/>
      <c r="W1051" s="382"/>
      <c r="X1051" s="197"/>
      <c r="Y1051" s="188" t="e">
        <f>ROUND(Y1050/(Y$1042+Y$1044+Y$1046+Y$1048+Y$1050+Y$1052+Y$1054+Y$1056),3)</f>
        <v>#DIV/0!</v>
      </c>
      <c r="Z1051" s="189"/>
      <c r="AA1051" s="188" t="e">
        <f>ROUND(AA1050/(AA$1042+AA$1044+AA$1046+AA$1048+AA$1050+AA$1052+AA$1054+AA$1056),3)</f>
        <v>#DIV/0!</v>
      </c>
      <c r="AB1051" s="159"/>
      <c r="AC1051" s="188" t="e">
        <f>ROUND(AC1050/(AC$1042+AC$1044+AC$1046+AC$1048+AC$1050+AC$1052+AC$1054+AC$1056),3)</f>
        <v>#DIV/0!</v>
      </c>
      <c r="AD1051" s="191"/>
      <c r="AE1051" s="192" t="e">
        <f>ROUND(AE1050/(AE$1042+AE$1044+AE$1046+AE$1048+AE$1050+AE$1052+AE$1054+AE$1056),3)</f>
        <v>#DIV/0!</v>
      </c>
      <c r="AF1051" s="197"/>
      <c r="AG1051" s="188"/>
      <c r="AH1051" s="189"/>
      <c r="AI1051" s="188"/>
      <c r="AJ1051" s="159"/>
      <c r="AK1051" s="188"/>
      <c r="AL1051" s="191"/>
      <c r="AM1051" s="188"/>
      <c r="AN1051" s="229"/>
      <c r="AO1051" s="188"/>
    </row>
    <row r="1052" spans="2:41" ht="13.5" customHeight="1" x14ac:dyDescent="0.15">
      <c r="C1052" s="231"/>
      <c r="D1052" s="410"/>
      <c r="E1052" s="403"/>
      <c r="F1052" s="403"/>
      <c r="G1052" s="403"/>
      <c r="H1052" s="403"/>
      <c r="I1052" s="404"/>
      <c r="J1052" s="234"/>
      <c r="K1052" s="188">
        <f>ROUND(K1051/K$1071,3)</f>
        <v>1.9019999999999999</v>
      </c>
      <c r="L1052" s="234"/>
      <c r="M1052" s="188">
        <f>ROUND(M1051/M$1071,3)</f>
        <v>0.25800000000000001</v>
      </c>
      <c r="N1052" s="234"/>
      <c r="O1052" s="188" t="e">
        <f>ROUND(O1051/O$1071,3)</f>
        <v>#DIV/0!</v>
      </c>
      <c r="P1052" s="234"/>
      <c r="Q1052" s="188">
        <f>ROUND(Q1051/Q$1071,3)</f>
        <v>0.25800000000000001</v>
      </c>
      <c r="R1052" s="234"/>
      <c r="S1052" s="208"/>
      <c r="W1052" s="235" t="s">
        <v>315</v>
      </c>
      <c r="X1052" s="201"/>
      <c r="Y1052" s="179">
        <f>AA1052+AC1052+AE1052</f>
        <v>0</v>
      </c>
      <c r="Z1052" s="202"/>
      <c r="AA1052" s="57">
        <v>0</v>
      </c>
      <c r="AB1052" s="236"/>
      <c r="AC1052" s="182">
        <v>0</v>
      </c>
      <c r="AD1052" s="183"/>
      <c r="AE1052" s="184">
        <v>0</v>
      </c>
      <c r="AF1052" s="201"/>
      <c r="AG1052" s="179"/>
      <c r="AH1052" s="202"/>
      <c r="AI1052" s="57"/>
      <c r="AJ1052" s="236"/>
      <c r="AK1052" s="182"/>
      <c r="AL1052" s="183"/>
      <c r="AM1052" s="179"/>
      <c r="AN1052" s="222"/>
      <c r="AO1052" s="179"/>
    </row>
    <row r="1053" spans="2:41" ht="13.5" customHeight="1" x14ac:dyDescent="0.15">
      <c r="C1053" s="231">
        <v>10</v>
      </c>
      <c r="D1053" s="399"/>
      <c r="E1053" s="401" t="s">
        <v>316</v>
      </c>
      <c r="F1053" s="401"/>
      <c r="G1053" s="401"/>
      <c r="H1053" s="401"/>
      <c r="I1053" s="402"/>
      <c r="J1053" s="232">
        <v>2</v>
      </c>
      <c r="K1053" s="185">
        <v>152</v>
      </c>
      <c r="L1053" s="233">
        <v>5</v>
      </c>
      <c r="M1053" s="81">
        <v>11</v>
      </c>
      <c r="N1053" s="232">
        <v>2</v>
      </c>
      <c r="O1053" s="185">
        <v>152</v>
      </c>
      <c r="P1053" s="233">
        <v>5</v>
      </c>
      <c r="Q1053" s="81">
        <v>11</v>
      </c>
      <c r="R1053" s="202">
        <v>2</v>
      </c>
      <c r="S1053" s="52"/>
      <c r="W1053" s="237" t="s">
        <v>317</v>
      </c>
      <c r="X1053" s="206"/>
      <c r="Y1053" s="188" t="e">
        <f>ROUND(Y1052/(Y$1042+Y$1044+Y$1046+Y$1048+Y$1050+Y$1052+Y$1054+Y$1056),3)</f>
        <v>#DIV/0!</v>
      </c>
      <c r="Z1053" s="189"/>
      <c r="AA1053" s="188" t="e">
        <f>ROUND(AA1052/(AA$1042+AA$1044+AA$1046+AA$1048+AA$1050+AA$1052+AA$1054+AA$1056),3)</f>
        <v>#DIV/0!</v>
      </c>
      <c r="AB1053" s="159"/>
      <c r="AC1053" s="188" t="e">
        <f>ROUND(AC1052/(AC$1042+AC$1044+AC$1046+AC$1048+AC$1050+AC$1052+AC$1054+AC$1056),3)</f>
        <v>#DIV/0!</v>
      </c>
      <c r="AD1053" s="191"/>
      <c r="AE1053" s="192" t="e">
        <f>ROUND(AE1052/(AE$1042+AE$1044+AE$1046+AE$1048+AE$1050+AE$1052+AE$1054+AE$1056),3)</f>
        <v>#DIV/0!</v>
      </c>
      <c r="AF1053" s="206"/>
      <c r="AG1053" s="188"/>
      <c r="AH1053" s="189"/>
      <c r="AI1053" s="188"/>
      <c r="AJ1053" s="159"/>
      <c r="AK1053" s="188"/>
      <c r="AL1053" s="191"/>
      <c r="AM1053" s="188"/>
      <c r="AN1053" s="229"/>
      <c r="AO1053" s="188"/>
    </row>
    <row r="1054" spans="2:41" ht="13.5" customHeight="1" x14ac:dyDescent="0.15">
      <c r="C1054" s="231"/>
      <c r="D1054" s="410"/>
      <c r="E1054" s="403"/>
      <c r="F1054" s="403"/>
      <c r="G1054" s="403"/>
      <c r="H1054" s="403"/>
      <c r="I1054" s="404"/>
      <c r="J1054" s="234"/>
      <c r="K1054" s="188">
        <f>ROUND(K1053/K$1071,3)</f>
        <v>1.246</v>
      </c>
      <c r="L1054" s="234"/>
      <c r="M1054" s="188">
        <f>ROUND(M1053/M$1071,3)</f>
        <v>0.16700000000000001</v>
      </c>
      <c r="N1054" s="234"/>
      <c r="O1054" s="188" t="e">
        <f>ROUND(O1053/O$1071,3)</f>
        <v>#DIV/0!</v>
      </c>
      <c r="P1054" s="234"/>
      <c r="Q1054" s="188">
        <f>ROUND(Q1053/Q$1071,3)</f>
        <v>0.16700000000000001</v>
      </c>
      <c r="R1054" s="234"/>
      <c r="S1054" s="208"/>
      <c r="W1054" s="381" t="s">
        <v>318</v>
      </c>
      <c r="X1054" s="238"/>
      <c r="Y1054" s="179">
        <f>AA1054+AC1054+AE1054</f>
        <v>0</v>
      </c>
      <c r="Z1054" s="202"/>
      <c r="AA1054" s="57">
        <v>0</v>
      </c>
      <c r="AB1054" s="236"/>
      <c r="AC1054" s="182">
        <v>0</v>
      </c>
      <c r="AD1054" s="183"/>
      <c r="AE1054" s="184">
        <v>0</v>
      </c>
      <c r="AF1054" s="238"/>
      <c r="AG1054" s="179"/>
      <c r="AH1054" s="202"/>
      <c r="AI1054" s="57"/>
      <c r="AJ1054" s="236"/>
      <c r="AK1054" s="182"/>
      <c r="AL1054" s="183"/>
      <c r="AM1054" s="179"/>
      <c r="AN1054" s="222"/>
      <c r="AO1054" s="392"/>
    </row>
    <row r="1055" spans="2:41" ht="13.5" customHeight="1" x14ac:dyDescent="0.15">
      <c r="C1055" s="231">
        <v>3</v>
      </c>
      <c r="D1055" s="399"/>
      <c r="E1055" s="401" t="s">
        <v>319</v>
      </c>
      <c r="F1055" s="401"/>
      <c r="G1055" s="401"/>
      <c r="H1055" s="401"/>
      <c r="I1055" s="402"/>
      <c r="J1055" s="232">
        <v>3</v>
      </c>
      <c r="K1055" s="185">
        <v>151</v>
      </c>
      <c r="L1055" s="233">
        <v>8</v>
      </c>
      <c r="M1055" s="81">
        <v>4</v>
      </c>
      <c r="N1055" s="232">
        <v>3</v>
      </c>
      <c r="O1055" s="185">
        <v>151</v>
      </c>
      <c r="P1055" s="233">
        <v>8</v>
      </c>
      <c r="Q1055" s="81">
        <v>4</v>
      </c>
      <c r="R1055" s="202">
        <v>5</v>
      </c>
      <c r="S1055" s="52"/>
      <c r="W1055" s="382"/>
      <c r="X1055" s="238"/>
      <c r="Y1055" s="188" t="e">
        <f>ROUND(Y1054/(Y$1042+Y$1044+Y$1046+Y$1048+Y$1050+Y$1052+Y$1054+Y$1056),3)</f>
        <v>#DIV/0!</v>
      </c>
      <c r="Z1055" s="189"/>
      <c r="AA1055" s="188" t="e">
        <f>ROUND(AA1054/(AA$1042+AA$1044+AA$1046+AA$1048+AA$1050+AA$1052+AA$1054+AA$1056),3)</f>
        <v>#DIV/0!</v>
      </c>
      <c r="AB1055" s="159"/>
      <c r="AC1055" s="188" t="e">
        <f>ROUND(AC1054/(AC$1042+AC$1044+AC$1046+AC$1048+AC$1050+AC$1052+AC$1054+AC$1056),3)</f>
        <v>#DIV/0!</v>
      </c>
      <c r="AD1055" s="191"/>
      <c r="AE1055" s="192" t="e">
        <f>ROUND(AE1054/(AE$1042+AE$1044+AE$1046+AE$1048+AE$1050+AE$1052+AE$1054+AE$1056),3)</f>
        <v>#DIV/0!</v>
      </c>
      <c r="AF1055" s="238"/>
      <c r="AG1055" s="188"/>
      <c r="AH1055" s="189"/>
      <c r="AI1055" s="188"/>
      <c r="AJ1055" s="159"/>
      <c r="AK1055" s="188"/>
      <c r="AL1055" s="191"/>
      <c r="AM1055" s="188"/>
      <c r="AN1055" s="229"/>
      <c r="AO1055" s="393"/>
    </row>
    <row r="1056" spans="2:41" ht="13.5" customHeight="1" x14ac:dyDescent="0.15">
      <c r="C1056" s="231"/>
      <c r="D1056" s="410"/>
      <c r="E1056" s="403"/>
      <c r="F1056" s="403"/>
      <c r="G1056" s="403"/>
      <c r="H1056" s="403"/>
      <c r="I1056" s="404"/>
      <c r="J1056" s="234"/>
      <c r="K1056" s="188">
        <f>ROUND(K1055/K$1071,3)</f>
        <v>1.238</v>
      </c>
      <c r="L1056" s="234"/>
      <c r="M1056" s="188">
        <f>ROUND(M1055/M$1071,3)</f>
        <v>6.0999999999999999E-2</v>
      </c>
      <c r="N1056" s="234"/>
      <c r="O1056" s="188" t="e">
        <f>ROUND(O1055/O$1071,3)</f>
        <v>#DIV/0!</v>
      </c>
      <c r="P1056" s="234"/>
      <c r="Q1056" s="188">
        <f>ROUND(Q1055/Q$1071,3)</f>
        <v>6.0999999999999999E-2</v>
      </c>
      <c r="R1056" s="234"/>
      <c r="S1056" s="208"/>
      <c r="W1056" s="383" t="s">
        <v>301</v>
      </c>
      <c r="X1056" s="201"/>
      <c r="Y1056" s="179">
        <f>AA1056+AC1056+AE1056</f>
        <v>0</v>
      </c>
      <c r="Z1056" s="202"/>
      <c r="AA1056" s="57">
        <v>0</v>
      </c>
      <c r="AB1056" s="236"/>
      <c r="AC1056" s="182">
        <v>0</v>
      </c>
      <c r="AD1056" s="183"/>
      <c r="AE1056" s="184">
        <v>0</v>
      </c>
      <c r="AF1056" s="201"/>
      <c r="AG1056" s="179"/>
      <c r="AH1056" s="202"/>
      <c r="AI1056" s="57"/>
      <c r="AJ1056" s="236"/>
      <c r="AK1056" s="182"/>
      <c r="AL1056" s="183"/>
      <c r="AM1056" s="179"/>
      <c r="AN1056" s="222"/>
      <c r="AO1056" s="392"/>
    </row>
    <row r="1057" spans="3:41" ht="14.25" customHeight="1" thickBot="1" x14ac:dyDescent="0.2">
      <c r="C1057" s="231">
        <v>9</v>
      </c>
      <c r="D1057" s="399"/>
      <c r="E1057" s="401" t="s">
        <v>320</v>
      </c>
      <c r="F1057" s="401"/>
      <c r="G1057" s="401"/>
      <c r="H1057" s="401"/>
      <c r="I1057" s="402"/>
      <c r="J1057" s="232">
        <v>4</v>
      </c>
      <c r="K1057" s="185">
        <v>110</v>
      </c>
      <c r="L1057" s="233">
        <v>2</v>
      </c>
      <c r="M1057" s="81">
        <v>17</v>
      </c>
      <c r="N1057" s="232">
        <v>4</v>
      </c>
      <c r="O1057" s="185">
        <v>110</v>
      </c>
      <c r="P1057" s="233">
        <v>2</v>
      </c>
      <c r="Q1057" s="81">
        <v>17</v>
      </c>
      <c r="R1057" s="202">
        <v>3</v>
      </c>
      <c r="S1057" s="52"/>
      <c r="W1057" s="383"/>
      <c r="X1057" s="239"/>
      <c r="Y1057" s="240" t="e">
        <f>ROUND(Y1056/(Y$1042+Y$1044+Y$1046+Y$1048+Y$1050+Y$1052+Y$1054+Y$1056),3)</f>
        <v>#DIV/0!</v>
      </c>
      <c r="Z1057" s="241"/>
      <c r="AA1057" s="240" t="e">
        <f>ROUND(AA1056/(AA$1042+AA$1044+AA$1046+AA$1048+AA$1050+AA$1052+AA$1054+AA$1056),3)</f>
        <v>#DIV/0!</v>
      </c>
      <c r="AB1057" s="242"/>
      <c r="AC1057" s="240" t="e">
        <f>ROUND(AC1056/(AC$1042+AC$1044+AC$1046+AC$1048+AC$1050+AC$1052+AC$1054+AC$1056),3)</f>
        <v>#DIV/0!</v>
      </c>
      <c r="AD1057" s="243"/>
      <c r="AE1057" s="244" t="e">
        <f>ROUND(AE1056/(AE$1042+AE$1044+AE$1046+AE$1048+AE$1050+AE$1052+AE$1054+AE$1056),3)</f>
        <v>#DIV/0!</v>
      </c>
      <c r="AF1057" s="206"/>
      <c r="AG1057" s="188"/>
      <c r="AH1057" s="189"/>
      <c r="AI1057" s="188"/>
      <c r="AJ1057" s="159"/>
      <c r="AK1057" s="188"/>
      <c r="AL1057" s="191"/>
      <c r="AM1057" s="188"/>
      <c r="AN1057" s="229"/>
      <c r="AO1057" s="393"/>
    </row>
    <row r="1058" spans="3:41" ht="13.5" customHeight="1" x14ac:dyDescent="0.15">
      <c r="C1058" s="231"/>
      <c r="D1058" s="410"/>
      <c r="E1058" s="403"/>
      <c r="F1058" s="403"/>
      <c r="G1058" s="403"/>
      <c r="H1058" s="403"/>
      <c r="I1058" s="404"/>
      <c r="J1058" s="234"/>
      <c r="K1058" s="188">
        <f>ROUND(K1057/K$1071,3)</f>
        <v>0.90200000000000002</v>
      </c>
      <c r="L1058" s="234"/>
      <c r="M1058" s="188">
        <f>ROUND(M1057/M$1071,3)</f>
        <v>0.25800000000000001</v>
      </c>
      <c r="N1058" s="234"/>
      <c r="O1058" s="188" t="e">
        <f>ROUND(O1057/O$1071,3)</f>
        <v>#DIV/0!</v>
      </c>
      <c r="P1058" s="234"/>
      <c r="Q1058" s="188">
        <f>ROUND(Q1057/Q$1071,3)</f>
        <v>0.25800000000000001</v>
      </c>
      <c r="R1058" s="234"/>
      <c r="S1058" s="208"/>
      <c r="W1058" s="386"/>
      <c r="X1058" s="52"/>
      <c r="Y1058" s="102"/>
      <c r="Z1058" s="102"/>
      <c r="AA1058" s="102"/>
      <c r="AB1058" s="102"/>
      <c r="AC1058" s="102"/>
      <c r="AD1058" s="102"/>
      <c r="AE1058" s="102"/>
      <c r="AF1058" s="87"/>
      <c r="AG1058" s="63"/>
      <c r="AH1058" s="63"/>
      <c r="AI1058" s="63"/>
      <c r="AJ1058" s="63"/>
      <c r="AK1058" s="63"/>
      <c r="AL1058" s="63"/>
      <c r="AM1058" s="63"/>
      <c r="AN1058" s="245"/>
      <c r="AO1058" s="63"/>
    </row>
    <row r="1059" spans="3:41" ht="13.5" customHeight="1" x14ac:dyDescent="0.15">
      <c r="C1059" s="231">
        <v>8</v>
      </c>
      <c r="D1059" s="399"/>
      <c r="E1059" s="401" t="s">
        <v>321</v>
      </c>
      <c r="F1059" s="401"/>
      <c r="G1059" s="401"/>
      <c r="H1059" s="401"/>
      <c r="I1059" s="402"/>
      <c r="J1059" s="232">
        <v>5</v>
      </c>
      <c r="K1059" s="185">
        <v>104</v>
      </c>
      <c r="L1059" s="233">
        <v>1</v>
      </c>
      <c r="M1059" s="81">
        <v>24</v>
      </c>
      <c r="N1059" s="232">
        <v>5</v>
      </c>
      <c r="O1059" s="185">
        <v>104</v>
      </c>
      <c r="P1059" s="233">
        <v>1</v>
      </c>
      <c r="Q1059" s="81">
        <v>24</v>
      </c>
      <c r="R1059" s="202">
        <v>4</v>
      </c>
      <c r="S1059" s="52"/>
      <c r="W1059" s="422"/>
      <c r="X1059" s="52"/>
      <c r="Y1059" s="246"/>
      <c r="Z1059" s="208"/>
      <c r="AA1059" s="246"/>
      <c r="AB1059" s="208"/>
      <c r="AC1059" s="246"/>
      <c r="AD1059" s="208"/>
      <c r="AE1059" s="246"/>
      <c r="AF1059" s="52"/>
      <c r="AG1059" s="246"/>
      <c r="AH1059" s="208"/>
      <c r="AI1059" s="246"/>
      <c r="AJ1059" s="208"/>
      <c r="AK1059" s="246"/>
      <c r="AL1059" s="208"/>
      <c r="AM1059" s="246"/>
      <c r="AN1059" s="247"/>
      <c r="AO1059" s="246"/>
    </row>
    <row r="1060" spans="3:41" x14ac:dyDescent="0.15">
      <c r="C1060" s="231"/>
      <c r="D1060" s="410"/>
      <c r="E1060" s="403"/>
      <c r="F1060" s="403"/>
      <c r="G1060" s="403"/>
      <c r="H1060" s="403"/>
      <c r="I1060" s="404"/>
      <c r="J1060" s="234"/>
      <c r="K1060" s="188">
        <f>ROUND(K1059/K$1071,3)</f>
        <v>0.85199999999999998</v>
      </c>
      <c r="L1060" s="234"/>
      <c r="M1060" s="188">
        <f>ROUND(M1059/M$1071,3)</f>
        <v>0.36399999999999999</v>
      </c>
      <c r="N1060" s="234"/>
      <c r="O1060" s="188" t="e">
        <f>ROUND(O1059/O$1071,3)</f>
        <v>#DIV/0!</v>
      </c>
      <c r="P1060" s="234"/>
      <c r="Q1060" s="188">
        <f>ROUND(Q1059/Q$1071,3)</f>
        <v>0.36399999999999999</v>
      </c>
      <c r="R1060" s="234"/>
      <c r="S1060" s="208"/>
    </row>
    <row r="1061" spans="3:41" ht="13.5" customHeight="1" x14ac:dyDescent="0.15">
      <c r="C1061" s="231">
        <v>1</v>
      </c>
      <c r="D1061" s="399"/>
      <c r="E1061" s="401" t="s">
        <v>322</v>
      </c>
      <c r="F1061" s="401"/>
      <c r="G1061" s="401"/>
      <c r="H1061" s="401"/>
      <c r="I1061" s="402"/>
      <c r="J1061" s="232">
        <v>6</v>
      </c>
      <c r="K1061" s="185">
        <v>103</v>
      </c>
      <c r="L1061" s="233">
        <v>7</v>
      </c>
      <c r="M1061" s="81">
        <v>6</v>
      </c>
      <c r="N1061" s="232">
        <v>6</v>
      </c>
      <c r="O1061" s="185">
        <v>103</v>
      </c>
      <c r="P1061" s="233">
        <v>7</v>
      </c>
      <c r="Q1061" s="81">
        <v>6</v>
      </c>
      <c r="R1061" s="202">
        <v>7</v>
      </c>
      <c r="S1061" s="52"/>
    </row>
    <row r="1062" spans="3:41" ht="14.25" customHeight="1" thickBot="1" x14ac:dyDescent="0.2">
      <c r="C1062" s="231"/>
      <c r="D1062" s="410"/>
      <c r="E1062" s="403"/>
      <c r="F1062" s="403"/>
      <c r="G1062" s="403"/>
      <c r="H1062" s="403"/>
      <c r="I1062" s="404"/>
      <c r="J1062" s="234"/>
      <c r="K1062" s="188">
        <f>ROUND(K1061/K$1071,3)</f>
        <v>0.84399999999999997</v>
      </c>
      <c r="L1062" s="234"/>
      <c r="M1062" s="188">
        <f>ROUND(M1061/M$1071,3)</f>
        <v>9.0999999999999998E-2</v>
      </c>
      <c r="N1062" s="234"/>
      <c r="O1062" s="188" t="e">
        <f>ROUND(O1061/O$1071,3)</f>
        <v>#DIV/0!</v>
      </c>
      <c r="P1062" s="234"/>
      <c r="Q1062" s="188">
        <f>ROUND(Q1061/Q$1071,3)</f>
        <v>9.0999999999999998E-2</v>
      </c>
      <c r="R1062" s="234"/>
      <c r="S1062" s="208"/>
      <c r="W1062" s="174" t="s">
        <v>323</v>
      </c>
      <c r="X1062" s="2"/>
      <c r="Y1062" s="2"/>
      <c r="Z1062" s="2"/>
      <c r="AA1062" s="2"/>
      <c r="AB1062" s="2"/>
      <c r="AC1062" s="11"/>
      <c r="AD1062" s="2"/>
      <c r="AE1062" s="2"/>
      <c r="AF1062" s="2"/>
      <c r="AG1062" s="2"/>
      <c r="AH1062" s="2"/>
      <c r="AI1062" s="2"/>
      <c r="AJ1062" s="2"/>
      <c r="AK1062" s="2"/>
      <c r="AL1062" s="2"/>
      <c r="AM1062" s="2"/>
      <c r="AN1062" s="146"/>
    </row>
    <row r="1063" spans="3:41" ht="13.5" customHeight="1" x14ac:dyDescent="0.15">
      <c r="C1063" s="231">
        <v>5</v>
      </c>
      <c r="D1063" s="399"/>
      <c r="E1063" s="401" t="s">
        <v>324</v>
      </c>
      <c r="F1063" s="401"/>
      <c r="G1063" s="401"/>
      <c r="H1063" s="401"/>
      <c r="I1063" s="402"/>
      <c r="J1063" s="232">
        <v>7</v>
      </c>
      <c r="K1063" s="185">
        <v>100</v>
      </c>
      <c r="L1063" s="233">
        <v>4</v>
      </c>
      <c r="M1063" s="81">
        <v>13</v>
      </c>
      <c r="N1063" s="232">
        <v>7</v>
      </c>
      <c r="O1063" s="185">
        <v>100</v>
      </c>
      <c r="P1063" s="233">
        <v>4</v>
      </c>
      <c r="Q1063" s="81">
        <v>13</v>
      </c>
      <c r="R1063" s="202">
        <v>6</v>
      </c>
      <c r="S1063" s="52"/>
      <c r="W1063" s="2"/>
      <c r="X1063" s="175"/>
      <c r="Y1063" s="384" t="s">
        <v>273</v>
      </c>
      <c r="Z1063" s="384"/>
      <c r="AA1063" s="384"/>
      <c r="AB1063" s="384"/>
      <c r="AC1063" s="384"/>
      <c r="AD1063" s="384"/>
      <c r="AE1063" s="385"/>
      <c r="AF1063" s="145"/>
      <c r="AG1063" s="386" t="s">
        <v>274</v>
      </c>
      <c r="AH1063" s="386"/>
      <c r="AI1063" s="386"/>
      <c r="AJ1063" s="386"/>
      <c r="AK1063" s="386"/>
      <c r="AL1063" s="386"/>
      <c r="AM1063" s="387"/>
      <c r="AN1063" s="378" t="s">
        <v>303</v>
      </c>
      <c r="AO1063" s="379"/>
    </row>
    <row r="1064" spans="3:41" ht="13.5" customHeight="1" x14ac:dyDescent="0.15">
      <c r="C1064" s="231"/>
      <c r="D1064" s="410"/>
      <c r="E1064" s="403"/>
      <c r="F1064" s="403"/>
      <c r="G1064" s="403"/>
      <c r="H1064" s="403"/>
      <c r="I1064" s="404"/>
      <c r="J1064" s="234"/>
      <c r="K1064" s="188">
        <f>ROUND(K1063/K$1071,3)</f>
        <v>0.82</v>
      </c>
      <c r="L1064" s="234"/>
      <c r="M1064" s="188">
        <f>ROUND(M1063/M$1071,3)</f>
        <v>0.19700000000000001</v>
      </c>
      <c r="N1064" s="234"/>
      <c r="O1064" s="188" t="e">
        <f>ROUND(O1063/O$1071,3)</f>
        <v>#DIV/0!</v>
      </c>
      <c r="P1064" s="234"/>
      <c r="Q1064" s="188">
        <f>ROUND(Q1063/Q$1071,3)</f>
        <v>0.19700000000000001</v>
      </c>
      <c r="R1064" s="234"/>
      <c r="S1064" s="208"/>
      <c r="W1064" s="2"/>
      <c r="X1064" s="110"/>
      <c r="Y1064" s="19"/>
      <c r="Z1064" s="394" t="s">
        <v>29</v>
      </c>
      <c r="AA1064" s="394"/>
      <c r="AB1064" s="408" t="s">
        <v>30</v>
      </c>
      <c r="AC1064" s="396"/>
      <c r="AD1064" s="376" t="s">
        <v>31</v>
      </c>
      <c r="AE1064" s="409"/>
      <c r="AF1064" s="110"/>
      <c r="AG1064" s="19"/>
      <c r="AH1064" s="394" t="s">
        <v>29</v>
      </c>
      <c r="AI1064" s="394"/>
      <c r="AJ1064" s="395" t="s">
        <v>30</v>
      </c>
      <c r="AK1064" s="396"/>
      <c r="AL1064" s="376" t="s">
        <v>31</v>
      </c>
      <c r="AM1064" s="377"/>
      <c r="AN1064" s="378" t="s">
        <v>289</v>
      </c>
      <c r="AO1064" s="379"/>
    </row>
    <row r="1065" spans="3:41" ht="13.5" customHeight="1" x14ac:dyDescent="0.15">
      <c r="C1065" s="231">
        <v>4</v>
      </c>
      <c r="D1065" s="399"/>
      <c r="E1065" s="401" t="s">
        <v>325</v>
      </c>
      <c r="F1065" s="401"/>
      <c r="G1065" s="401"/>
      <c r="H1065" s="401"/>
      <c r="I1065" s="402"/>
      <c r="J1065" s="232">
        <v>8</v>
      </c>
      <c r="K1065" s="185">
        <v>98</v>
      </c>
      <c r="L1065" s="233">
        <v>6</v>
      </c>
      <c r="M1065" s="81">
        <v>9</v>
      </c>
      <c r="N1065" s="232">
        <v>8</v>
      </c>
      <c r="O1065" s="185">
        <v>98</v>
      </c>
      <c r="P1065" s="233">
        <v>6</v>
      </c>
      <c r="Q1065" s="81">
        <v>9</v>
      </c>
      <c r="R1065" s="202">
        <v>8</v>
      </c>
      <c r="S1065" s="52"/>
      <c r="W1065" s="224" t="s">
        <v>326</v>
      </c>
      <c r="X1065" s="145"/>
      <c r="Y1065" s="179">
        <f>AA1065+AC1065+AE1065</f>
        <v>0</v>
      </c>
      <c r="Z1065" s="180"/>
      <c r="AA1065" s="57">
        <v>0</v>
      </c>
      <c r="AB1065" s="221"/>
      <c r="AC1065" s="182">
        <v>0</v>
      </c>
      <c r="AD1065" s="183"/>
      <c r="AE1065" s="184">
        <v>0</v>
      </c>
      <c r="AF1065" s="145"/>
      <c r="AG1065" s="392"/>
      <c r="AH1065" s="180"/>
      <c r="AI1065" s="392"/>
      <c r="AJ1065" s="221"/>
      <c r="AK1065" s="392"/>
      <c r="AL1065" s="183"/>
      <c r="AM1065" s="392"/>
      <c r="AN1065" s="222"/>
      <c r="AO1065" s="429"/>
    </row>
    <row r="1066" spans="3:41" ht="13.5" customHeight="1" x14ac:dyDescent="0.15">
      <c r="C1066" s="231"/>
      <c r="D1066" s="410"/>
      <c r="E1066" s="403"/>
      <c r="F1066" s="403"/>
      <c r="G1066" s="403"/>
      <c r="H1066" s="403"/>
      <c r="I1066" s="404"/>
      <c r="J1066" s="234"/>
      <c r="K1066" s="188">
        <f>ROUND(K1065/K$1071,3)</f>
        <v>0.80300000000000005</v>
      </c>
      <c r="L1066" s="234"/>
      <c r="M1066" s="188">
        <f>ROUND(M1065/M$1071,3)</f>
        <v>0.13600000000000001</v>
      </c>
      <c r="N1066" s="234"/>
      <c r="O1066" s="188" t="e">
        <f>ROUND(O1065/O$1071,3)</f>
        <v>#DIV/0!</v>
      </c>
      <c r="P1066" s="234"/>
      <c r="Q1066" s="188">
        <f>ROUND(Q1065/Q$1071,3)</f>
        <v>0.13600000000000001</v>
      </c>
      <c r="R1066" s="234"/>
      <c r="S1066" s="208"/>
      <c r="W1066" s="225" t="s">
        <v>327</v>
      </c>
      <c r="X1066" s="110"/>
      <c r="Y1066" s="188" t="e">
        <f>ROUND(Y1065/(Y$1042+Y$1044+Y$1046+Y$1048+Y$1050+Y$1052+Y$1054+Y$1056),3)</f>
        <v>#DIV/0!</v>
      </c>
      <c r="Z1066" s="189"/>
      <c r="AA1066" s="188" t="e">
        <f>ROUND(AA1065/(AA$1042+AA$1044+AA$1046+AA$1048+AA$1050+AA$1052+AA$1054+AA$1056),3)</f>
        <v>#DIV/0!</v>
      </c>
      <c r="AB1066" s="159"/>
      <c r="AC1066" s="188" t="e">
        <f>ROUND(AC1065/(AC$1042+AC$1044+AC$1046+AC$1048+AC$1050+AC$1052+AC$1054+AC$1056),3)</f>
        <v>#DIV/0!</v>
      </c>
      <c r="AD1066" s="191"/>
      <c r="AE1066" s="192" t="e">
        <f>ROUND(AE1065/(AE$1042+AE$1044+AE$1046+AE$1048+AE$1050+AE$1052+AE$1054+AE$1056),3)</f>
        <v>#DIV/0!</v>
      </c>
      <c r="AF1066" s="110"/>
      <c r="AG1066" s="393"/>
      <c r="AH1066" s="189"/>
      <c r="AI1066" s="393"/>
      <c r="AJ1066" s="159"/>
      <c r="AK1066" s="393"/>
      <c r="AL1066" s="191"/>
      <c r="AM1066" s="393"/>
      <c r="AN1066" s="223"/>
      <c r="AO1066" s="430"/>
    </row>
    <row r="1067" spans="3:41" ht="13.5" customHeight="1" x14ac:dyDescent="0.15">
      <c r="C1067" s="231">
        <v>7</v>
      </c>
      <c r="D1067" s="399"/>
      <c r="E1067" s="401" t="s">
        <v>328</v>
      </c>
      <c r="F1067" s="401"/>
      <c r="G1067" s="401"/>
      <c r="H1067" s="401"/>
      <c r="I1067" s="402"/>
      <c r="J1067" s="232">
        <v>9</v>
      </c>
      <c r="K1067" s="185">
        <v>35</v>
      </c>
      <c r="L1067" s="248" t="s">
        <v>329</v>
      </c>
      <c r="M1067" s="81">
        <v>0</v>
      </c>
      <c r="N1067" s="232">
        <v>9</v>
      </c>
      <c r="O1067" s="185">
        <v>35</v>
      </c>
      <c r="P1067" s="248" t="s">
        <v>329</v>
      </c>
      <c r="Q1067" s="81">
        <v>0</v>
      </c>
      <c r="R1067" s="202">
        <v>9</v>
      </c>
      <c r="S1067" s="52"/>
      <c r="W1067" s="224" t="s">
        <v>330</v>
      </c>
      <c r="X1067" s="145"/>
      <c r="Y1067" s="179">
        <f>AA1067+AC1067+AE1067</f>
        <v>0</v>
      </c>
      <c r="Z1067" s="180"/>
      <c r="AA1067" s="57">
        <v>0</v>
      </c>
      <c r="AB1067" s="221"/>
      <c r="AC1067" s="182">
        <v>0</v>
      </c>
      <c r="AD1067" s="183"/>
      <c r="AE1067" s="184">
        <v>0</v>
      </c>
      <c r="AF1067" s="145"/>
      <c r="AG1067" s="179"/>
      <c r="AH1067" s="180"/>
      <c r="AI1067" s="57"/>
      <c r="AJ1067" s="221"/>
      <c r="AK1067" s="182"/>
      <c r="AL1067" s="183"/>
      <c r="AM1067" s="179"/>
      <c r="AN1067" s="222"/>
      <c r="AO1067" s="179"/>
    </row>
    <row r="1068" spans="3:41" ht="13.5" customHeight="1" x14ac:dyDescent="0.15">
      <c r="C1068" s="231"/>
      <c r="D1068" s="410"/>
      <c r="E1068" s="403"/>
      <c r="F1068" s="403"/>
      <c r="G1068" s="403"/>
      <c r="H1068" s="403"/>
      <c r="I1068" s="404"/>
      <c r="J1068" s="234"/>
      <c r="K1068" s="188">
        <f>ROUND(K1067/K$1071,3)</f>
        <v>0.28699999999999998</v>
      </c>
      <c r="L1068" s="234"/>
      <c r="M1068" s="188">
        <f>ROUND(M1067/M$1071,3)</f>
        <v>0</v>
      </c>
      <c r="N1068" s="234"/>
      <c r="O1068" s="188" t="e">
        <f>ROUND(O1067/O$1071,3)</f>
        <v>#DIV/0!</v>
      </c>
      <c r="P1068" s="234"/>
      <c r="Q1068" s="188">
        <f>ROUND(Q1067/Q$1071,3)</f>
        <v>0</v>
      </c>
      <c r="R1068" s="234"/>
      <c r="S1068" s="208"/>
      <c r="W1068" s="225" t="s">
        <v>306</v>
      </c>
      <c r="X1068" s="110"/>
      <c r="Y1068" s="188" t="e">
        <f>ROUND(Y1067/(Y$1042+Y$1044+Y$1046+Y$1048+Y$1050+Y$1052+Y$1054+Y$1056),3)</f>
        <v>#DIV/0!</v>
      </c>
      <c r="Z1068" s="189"/>
      <c r="AA1068" s="188" t="e">
        <f>ROUND(AA1067/(AA$1042+AA$1044+AA$1046+AA$1048+AA$1050+AA$1052+AA$1054+AA$1056),3)</f>
        <v>#DIV/0!</v>
      </c>
      <c r="AB1068" s="159"/>
      <c r="AC1068" s="188" t="e">
        <f>ROUND(AC1067/(AC$1042+AC$1044+AC$1046+AC$1048+AC$1050+AC$1052+AC$1054+AC$1056),3)</f>
        <v>#DIV/0!</v>
      </c>
      <c r="AD1068" s="191"/>
      <c r="AE1068" s="192" t="e">
        <f>ROUND(AE1067/(AE$1021+AE$1023+AE$1025+AE$1027+AE$1029+AE$1031+AE$1033),3)</f>
        <v>#DIV/0!</v>
      </c>
      <c r="AF1068" s="110"/>
      <c r="AG1068" s="188"/>
      <c r="AH1068" s="189"/>
      <c r="AI1068" s="188"/>
      <c r="AJ1068" s="159"/>
      <c r="AK1068" s="188"/>
      <c r="AL1068" s="191"/>
      <c r="AM1068" s="188"/>
      <c r="AN1068" s="226"/>
      <c r="AO1068" s="188"/>
    </row>
    <row r="1069" spans="3:41" ht="13.5" customHeight="1" x14ac:dyDescent="0.15">
      <c r="C1069" s="231">
        <v>6</v>
      </c>
      <c r="D1069" s="399"/>
      <c r="E1069" s="401" t="s">
        <v>331</v>
      </c>
      <c r="F1069" s="401"/>
      <c r="G1069" s="401"/>
      <c r="H1069" s="401"/>
      <c r="I1069" s="402"/>
      <c r="J1069" s="232">
        <v>10</v>
      </c>
      <c r="K1069" s="185">
        <v>21</v>
      </c>
      <c r="L1069" s="233">
        <v>9</v>
      </c>
      <c r="M1069" s="81">
        <v>3</v>
      </c>
      <c r="N1069" s="232">
        <v>10</v>
      </c>
      <c r="O1069" s="185">
        <v>21</v>
      </c>
      <c r="P1069" s="233">
        <v>9</v>
      </c>
      <c r="Q1069" s="81">
        <v>3</v>
      </c>
      <c r="R1069" s="202">
        <v>10</v>
      </c>
      <c r="S1069" s="52"/>
      <c r="W1069" s="431" t="s">
        <v>332</v>
      </c>
      <c r="X1069" s="145"/>
      <c r="Y1069" s="179">
        <f>AA1069+AC1069+AE1069</f>
        <v>0</v>
      </c>
      <c r="Z1069" s="180"/>
      <c r="AA1069" s="57">
        <v>0</v>
      </c>
      <c r="AB1069" s="221"/>
      <c r="AC1069" s="182">
        <v>0</v>
      </c>
      <c r="AD1069" s="183"/>
      <c r="AE1069" s="184">
        <v>0</v>
      </c>
      <c r="AF1069" s="145"/>
      <c r="AG1069" s="179"/>
      <c r="AH1069" s="180"/>
      <c r="AI1069" s="57"/>
      <c r="AJ1069" s="221"/>
      <c r="AK1069" s="182"/>
      <c r="AL1069" s="183"/>
      <c r="AM1069" s="179"/>
      <c r="AN1069" s="222"/>
      <c r="AO1069" s="179"/>
    </row>
    <row r="1070" spans="3:41" ht="13.5" customHeight="1" x14ac:dyDescent="0.15">
      <c r="C1070" s="231"/>
      <c r="D1070" s="400"/>
      <c r="E1070" s="403"/>
      <c r="F1070" s="403"/>
      <c r="G1070" s="403"/>
      <c r="H1070" s="403"/>
      <c r="I1070" s="404"/>
      <c r="J1070" s="234"/>
      <c r="K1070" s="188">
        <f>ROUND(K1069/K$1071,3)</f>
        <v>0.17199999999999999</v>
      </c>
      <c r="L1070" s="234"/>
      <c r="M1070" s="188">
        <f>ROUND(M1069/M$1071,3)</f>
        <v>4.4999999999999998E-2</v>
      </c>
      <c r="N1070" s="234"/>
      <c r="O1070" s="188" t="e">
        <f>ROUND(O1069/O$1071,3)</f>
        <v>#DIV/0!</v>
      </c>
      <c r="P1070" s="234"/>
      <c r="Q1070" s="188">
        <f>ROUND(Q1069/Q$1071,3)</f>
        <v>4.4999999999999998E-2</v>
      </c>
      <c r="R1070" s="234"/>
      <c r="S1070" s="208"/>
      <c r="W1070" s="432"/>
      <c r="X1070" s="110"/>
      <c r="Y1070" s="188" t="e">
        <f>ROUND(Y1069/(Y$1042+Y$1044+Y$1046+Y$1048+Y$1050+Y$1052+Y$1054+Y$1056),3)</f>
        <v>#DIV/0!</v>
      </c>
      <c r="Z1070" s="189"/>
      <c r="AA1070" s="188" t="e">
        <f>ROUND(AA1069/(AA$1042+AA$1044+AA$1046+AA$1048+AA$1050+AA$1052+AA$1054+AA$1056),3)</f>
        <v>#DIV/0!</v>
      </c>
      <c r="AB1070" s="159"/>
      <c r="AC1070" s="188" t="e">
        <f>ROUND(AC1069/(AC$1042+AC$1044+AC$1046+AC$1048+AC$1050+AC$1052+AC$1054+AC$1056),3)</f>
        <v>#DIV/0!</v>
      </c>
      <c r="AD1070" s="191"/>
      <c r="AE1070" s="192" t="e">
        <f>ROUND(AE1069/(AE$1042+AE$1044+AE$1046+AE$1048+AE$1050+AE$1052+AE$1054+AE$1056),3)</f>
        <v>#DIV/0!</v>
      </c>
      <c r="AF1070" s="110"/>
      <c r="AG1070" s="188"/>
      <c r="AH1070" s="189"/>
      <c r="AI1070" s="188"/>
      <c r="AJ1070" s="159"/>
      <c r="AK1070" s="188"/>
      <c r="AL1070" s="191"/>
      <c r="AM1070" s="188"/>
      <c r="AN1070" s="229"/>
      <c r="AO1070" s="188"/>
    </row>
    <row r="1071" spans="3:41" x14ac:dyDescent="0.15">
      <c r="C1071" s="231"/>
      <c r="D1071" s="405" t="s">
        <v>333</v>
      </c>
      <c r="E1071" s="406"/>
      <c r="F1071" s="406"/>
      <c r="G1071" s="406"/>
      <c r="H1071" s="406"/>
      <c r="I1071" s="407"/>
      <c r="J1071" s="249"/>
      <c r="K1071" s="250">
        <f>SUM(M1130:R1130)</f>
        <v>122</v>
      </c>
      <c r="L1071" s="251"/>
      <c r="M1071" s="252">
        <v>66</v>
      </c>
      <c r="N1071" s="253"/>
      <c r="O1071" s="254" t="e">
        <f>SUM(Q1130:Z1130)</f>
        <v>#DIV/0!</v>
      </c>
      <c r="P1071" s="255"/>
      <c r="Q1071" s="256">
        <v>66</v>
      </c>
      <c r="R1071" s="255"/>
      <c r="S1071" s="257"/>
      <c r="W1071" s="195" t="s">
        <v>334</v>
      </c>
      <c r="X1071" s="145"/>
      <c r="Y1071" s="179">
        <f>AA1071+AC1071+AE1071</f>
        <v>0</v>
      </c>
      <c r="Z1071" s="180"/>
      <c r="AA1071" s="57">
        <v>0</v>
      </c>
      <c r="AB1071" s="221"/>
      <c r="AC1071" s="182">
        <v>0</v>
      </c>
      <c r="AD1071" s="183"/>
      <c r="AE1071" s="184">
        <v>0</v>
      </c>
      <c r="AF1071" s="145"/>
      <c r="AG1071" s="179"/>
      <c r="AH1071" s="180"/>
      <c r="AI1071" s="57"/>
      <c r="AJ1071" s="221"/>
      <c r="AK1071" s="182"/>
      <c r="AL1071" s="183"/>
      <c r="AM1071" s="179"/>
      <c r="AN1071" s="222"/>
      <c r="AO1071" s="179"/>
    </row>
    <row r="1072" spans="3:41" ht="13.5" customHeight="1" x14ac:dyDescent="0.15">
      <c r="D1072" s="405" t="s">
        <v>335</v>
      </c>
      <c r="E1072" s="406"/>
      <c r="F1072" s="406"/>
      <c r="G1072" s="406"/>
      <c r="H1072" s="406"/>
      <c r="I1072" s="407"/>
      <c r="J1072" s="258"/>
      <c r="K1072" s="259">
        <f>SUM(K1051,K1057,K1055,K1053,K1063,K1061,K1059,K1065,K1067,K1069)</f>
        <v>1106</v>
      </c>
      <c r="L1072" s="260"/>
      <c r="M1072" s="261">
        <f>SUM(M1051,M1057,M1055,M1053,M1063,M1061,M1059,M1065,M1067,M1069)</f>
        <v>104</v>
      </c>
      <c r="N1072" s="262"/>
      <c r="O1072" s="263">
        <f>SUM(O1051,O1057,O1055,O1053,O1063,O1061,O1059,O1065,O1067,O1069)</f>
        <v>1106</v>
      </c>
      <c r="P1072" s="264"/>
      <c r="Q1072" s="265">
        <f>SUM(Q1051,Q1057,Q1055,Q1053,Q1063,Q1061,Q1059,Q1065,Q1067,Q1069)</f>
        <v>104</v>
      </c>
      <c r="R1072" s="264"/>
      <c r="S1072" s="266"/>
      <c r="W1072" s="196" t="s">
        <v>336</v>
      </c>
      <c r="X1072" s="110"/>
      <c r="Y1072" s="188" t="e">
        <f>ROUND(Y1071/(Y$1042+Y$1044+Y$1046+Y$1048+Y$1050+Y$1052+Y$1054+Y$1056),3)</f>
        <v>#DIV/0!</v>
      </c>
      <c r="Z1072" s="189"/>
      <c r="AA1072" s="188" t="e">
        <f>ROUND(AA1071/(AA$1042+AA$1044+AA$1046+AA$1048+AA$1050+AA$1052+AA$1054+AA$1056),3)</f>
        <v>#DIV/0!</v>
      </c>
      <c r="AB1072" s="159"/>
      <c r="AC1072" s="188" t="e">
        <f>ROUND(AC1071/(AC$1042+AC$1044+AC$1046+AC$1048+AC$1050+AC$1052+AC$1054+AC$1056),3)</f>
        <v>#DIV/0!</v>
      </c>
      <c r="AD1072" s="191"/>
      <c r="AE1072" s="192" t="e">
        <f>ROUND(AE1071/(AE$1042+AE$1044+AE$1046+AE$1048+AE$1050+AE$1052+AE$1054+AE$1056),3)</f>
        <v>#DIV/0!</v>
      </c>
      <c r="AF1072" s="110"/>
      <c r="AG1072" s="188"/>
      <c r="AH1072" s="189"/>
      <c r="AI1072" s="188"/>
      <c r="AJ1072" s="159"/>
      <c r="AK1072" s="188"/>
      <c r="AL1072" s="191"/>
      <c r="AM1072" s="188"/>
      <c r="AN1072" s="229"/>
      <c r="AO1072" s="188"/>
    </row>
    <row r="1073" spans="2:41" x14ac:dyDescent="0.15">
      <c r="D1073" s="267"/>
      <c r="E1073" s="48"/>
      <c r="F1073" s="48"/>
      <c r="G1073" s="48"/>
      <c r="H1073" s="48"/>
      <c r="I1073" s="48"/>
      <c r="J1073" s="268"/>
      <c r="K1073" s="114" t="str">
        <f>IF(K1072=[1]★Ｈ２５入力表!BB787,"OK","NG")</f>
        <v>NG</v>
      </c>
      <c r="L1073" s="64"/>
      <c r="M1073" s="114" t="str">
        <f>IF(M1072=[1]★Ｈ２５入力表!BB780,"OK","NG")</f>
        <v>NG</v>
      </c>
      <c r="N1073" s="269"/>
      <c r="O1073" s="270" t="str">
        <f>IF(O1072=[1]★Ｈ２５入力表!BF787,"OK","NG")</f>
        <v>NG</v>
      </c>
      <c r="P1073" s="271"/>
      <c r="Q1073" s="270" t="str">
        <f>IF(Q1072=[1]★Ｈ２５入力表!BF780,"OK","NG")</f>
        <v>NG</v>
      </c>
      <c r="R1073" s="271"/>
      <c r="S1073" s="271"/>
      <c r="W1073" s="381" t="s">
        <v>337</v>
      </c>
      <c r="X1073" s="197"/>
      <c r="Y1073" s="179">
        <f>AA1073+AC1073+AE1073</f>
        <v>0</v>
      </c>
      <c r="Z1073" s="198"/>
      <c r="AA1073" s="57">
        <v>0</v>
      </c>
      <c r="AB1073" s="221"/>
      <c r="AC1073" s="182">
        <v>0</v>
      </c>
      <c r="AD1073" s="183"/>
      <c r="AE1073" s="184">
        <v>0</v>
      </c>
      <c r="AF1073" s="197"/>
      <c r="AG1073" s="179"/>
      <c r="AH1073" s="198"/>
      <c r="AI1073" s="57"/>
      <c r="AJ1073" s="221"/>
      <c r="AK1073" s="182"/>
      <c r="AL1073" s="183"/>
      <c r="AM1073" s="179"/>
      <c r="AN1073" s="222"/>
      <c r="AO1073" s="179"/>
    </row>
    <row r="1074" spans="2:41" ht="13.5" customHeight="1" x14ac:dyDescent="0.15">
      <c r="B1074" s="2" t="s">
        <v>338</v>
      </c>
      <c r="C1074" s="2" t="s">
        <v>339</v>
      </c>
      <c r="W1074" s="382"/>
      <c r="X1074" s="197"/>
      <c r="Y1074" s="188" t="e">
        <f>ROUND(Y1073/(Y$1042+Y$1044+Y$1046+Y$1048+Y$1050+Y$1052+Y$1054+Y$1056),3)</f>
        <v>#DIV/0!</v>
      </c>
      <c r="Z1074" s="189"/>
      <c r="AA1074" s="188" t="e">
        <f>ROUND(AA1073/(AA$1042+AA$1044+AA$1046+AA$1048+AA$1050+AA$1052+AA$1054+AA$1056),3)</f>
        <v>#DIV/0!</v>
      </c>
      <c r="AB1074" s="159"/>
      <c r="AC1074" s="188" t="e">
        <f>ROUND(AC1073/(AC$1042+AC$1044+AC$1046+AC$1048+AC$1050+AC$1052+AC$1054+AC$1056),3)</f>
        <v>#DIV/0!</v>
      </c>
      <c r="AD1074" s="191"/>
      <c r="AE1074" s="192" t="e">
        <f>ROUND(AE1073/(AE$1042+AE$1044+AE$1046+AE$1048+AE$1050+AE$1052+AE$1054+AE$1056),3)</f>
        <v>#DIV/0!</v>
      </c>
      <c r="AF1074" s="197"/>
      <c r="AG1074" s="188"/>
      <c r="AH1074" s="189"/>
      <c r="AI1074" s="188"/>
      <c r="AJ1074" s="159"/>
      <c r="AK1074" s="188"/>
      <c r="AL1074" s="191"/>
      <c r="AM1074" s="188"/>
      <c r="AN1074" s="229"/>
      <c r="AO1074" s="188"/>
    </row>
    <row r="1075" spans="2:41" x14ac:dyDescent="0.15">
      <c r="D1075" s="411"/>
      <c r="E1075" s="412"/>
      <c r="F1075" s="412"/>
      <c r="G1075" s="412"/>
      <c r="H1075" s="412"/>
      <c r="I1075" s="413"/>
      <c r="J1075" s="399" t="s">
        <v>274</v>
      </c>
      <c r="K1075" s="386"/>
      <c r="L1075" s="386"/>
      <c r="M1075" s="386"/>
      <c r="N1075" s="386"/>
      <c r="O1075" s="386"/>
      <c r="P1075" s="386"/>
      <c r="Q1075" s="386"/>
      <c r="R1075" s="386"/>
      <c r="S1075" s="100"/>
      <c r="W1075" s="381" t="s">
        <v>340</v>
      </c>
      <c r="X1075" s="201"/>
      <c r="Y1075" s="179">
        <f>AA1075+AC1075+AE1075</f>
        <v>0</v>
      </c>
      <c r="Z1075" s="202"/>
      <c r="AA1075" s="57">
        <v>0</v>
      </c>
      <c r="AB1075" s="236"/>
      <c r="AC1075" s="182">
        <v>0</v>
      </c>
      <c r="AD1075" s="183"/>
      <c r="AE1075" s="184">
        <v>0</v>
      </c>
      <c r="AF1075" s="201"/>
      <c r="AG1075" s="179"/>
      <c r="AH1075" s="202"/>
      <c r="AI1075" s="57"/>
      <c r="AJ1075" s="236"/>
      <c r="AK1075" s="182"/>
      <c r="AL1075" s="183"/>
      <c r="AM1075" s="179"/>
      <c r="AN1075" s="222"/>
      <c r="AO1075" s="179"/>
    </row>
    <row r="1076" spans="2:41" ht="13.5" customHeight="1" x14ac:dyDescent="0.15">
      <c r="D1076" s="414"/>
      <c r="E1076" s="415"/>
      <c r="F1076" s="415"/>
      <c r="G1076" s="415"/>
      <c r="H1076" s="415"/>
      <c r="I1076" s="416"/>
      <c r="J1076" s="230"/>
      <c r="K1076" s="19"/>
      <c r="L1076" s="394" t="s">
        <v>29</v>
      </c>
      <c r="M1076" s="394"/>
      <c r="N1076" s="230"/>
      <c r="O1076" s="19"/>
      <c r="P1076" s="394" t="s">
        <v>29</v>
      </c>
      <c r="Q1076" s="394"/>
      <c r="R1076" s="15" t="s">
        <v>31</v>
      </c>
      <c r="S1076" s="101"/>
      <c r="W1076" s="382"/>
      <c r="X1076" s="206"/>
      <c r="Y1076" s="188" t="e">
        <f>ROUND(Y1075/(Y$1042+Y$1044+Y$1046+Y$1048+Y$1050+Y$1052+Y$1054+Y$1056),3)</f>
        <v>#DIV/0!</v>
      </c>
      <c r="Z1076" s="189"/>
      <c r="AA1076" s="188" t="e">
        <f>ROUND(AA1075/(AA$1042+AA$1044+AA$1046+AA$1048+AA$1050+AA$1052+AA$1054+AA$1056),3)</f>
        <v>#DIV/0!</v>
      </c>
      <c r="AB1076" s="159"/>
      <c r="AC1076" s="188" t="e">
        <f>ROUND(AC1075/(AC$1042+AC$1044+AC$1046+AC$1048+AC$1050+AC$1052+AC$1054+AC$1056),3)</f>
        <v>#DIV/0!</v>
      </c>
      <c r="AD1076" s="191"/>
      <c r="AE1076" s="192" t="e">
        <f>ROUND(AE1075/(AE$1042+AE$1044+AE$1046+AE$1048+AE$1050+AE$1052+AE$1054+AE$1056),3)</f>
        <v>#DIV/0!</v>
      </c>
      <c r="AF1076" s="206"/>
      <c r="AG1076" s="188"/>
      <c r="AH1076" s="189"/>
      <c r="AI1076" s="188"/>
      <c r="AJ1076" s="159"/>
      <c r="AK1076" s="188"/>
      <c r="AL1076" s="191"/>
      <c r="AM1076" s="188"/>
      <c r="AN1076" s="229"/>
      <c r="AO1076" s="188"/>
    </row>
    <row r="1077" spans="2:41" ht="13.5" customHeight="1" x14ac:dyDescent="0.15">
      <c r="C1077" s="425">
        <v>9</v>
      </c>
      <c r="D1077" s="426"/>
      <c r="E1077" s="401" t="s">
        <v>212</v>
      </c>
      <c r="F1077" s="401"/>
      <c r="G1077" s="401"/>
      <c r="H1077" s="401"/>
      <c r="I1077" s="402"/>
      <c r="J1077" s="232">
        <v>1</v>
      </c>
      <c r="K1077" s="185">
        <v>540</v>
      </c>
      <c r="L1077" s="233">
        <v>1</v>
      </c>
      <c r="M1077" s="57">
        <v>55</v>
      </c>
      <c r="N1077" s="232">
        <v>1</v>
      </c>
      <c r="O1077" s="185">
        <v>540</v>
      </c>
      <c r="P1077" s="233">
        <v>1</v>
      </c>
      <c r="Q1077" s="57">
        <v>55</v>
      </c>
      <c r="R1077" s="233">
        <v>1</v>
      </c>
      <c r="S1077" s="272"/>
      <c r="W1077" s="381" t="s">
        <v>318</v>
      </c>
      <c r="X1077" s="238"/>
      <c r="Y1077" s="179">
        <f>AA1077+AC1077+AE1077</f>
        <v>0</v>
      </c>
      <c r="Z1077" s="202"/>
      <c r="AA1077" s="57">
        <v>0</v>
      </c>
      <c r="AB1077" s="236"/>
      <c r="AC1077" s="182">
        <v>0</v>
      </c>
      <c r="AD1077" s="183"/>
      <c r="AE1077" s="184">
        <v>0</v>
      </c>
      <c r="AF1077" s="238"/>
      <c r="AG1077" s="179"/>
      <c r="AH1077" s="202"/>
      <c r="AI1077" s="57"/>
      <c r="AJ1077" s="236"/>
      <c r="AK1077" s="182"/>
      <c r="AL1077" s="183"/>
      <c r="AM1077" s="179"/>
      <c r="AN1077" s="222"/>
      <c r="AO1077" s="392"/>
    </row>
    <row r="1078" spans="2:41" ht="13.5" customHeight="1" x14ac:dyDescent="0.15">
      <c r="C1078" s="425"/>
      <c r="D1078" s="426"/>
      <c r="E1078" s="403"/>
      <c r="F1078" s="403"/>
      <c r="G1078" s="403"/>
      <c r="H1078" s="403"/>
      <c r="I1078" s="404"/>
      <c r="J1078" s="234"/>
      <c r="K1078" s="188">
        <f>ROUND(K1077/K$1121,3)</f>
        <v>4.0910000000000002</v>
      </c>
      <c r="L1078" s="217"/>
      <c r="M1078" s="188">
        <f>ROUND(M1077/M$1121,3)</f>
        <v>0.83299999999999996</v>
      </c>
      <c r="N1078" s="234"/>
      <c r="O1078" s="188">
        <f>ROUND(O1077/O$1121,3)</f>
        <v>8.1820000000000004</v>
      </c>
      <c r="P1078" s="217"/>
      <c r="Q1078" s="188">
        <f>ROUND(Q1077/Q$1121,3)</f>
        <v>0.83299999999999996</v>
      </c>
      <c r="R1078" s="217"/>
      <c r="S1078" s="208"/>
      <c r="W1078" s="382"/>
      <c r="X1078" s="238"/>
      <c r="Y1078" s="188" t="e">
        <f>ROUND(Y1077/(Y$1042+Y$1044+Y$1046+Y$1048+Y$1050+Y$1052+Y$1054+Y$1056),3)</f>
        <v>#DIV/0!</v>
      </c>
      <c r="Z1078" s="189"/>
      <c r="AA1078" s="188" t="e">
        <f>ROUND(AA1077/(AA$1042+AA$1044+AA$1046+AA$1048+AA$1050+AA$1052+AA$1054+AA$1056),3)</f>
        <v>#DIV/0!</v>
      </c>
      <c r="AB1078" s="159"/>
      <c r="AC1078" s="188" t="e">
        <f>ROUND(AC1077/(AC$1042+AC$1044+AC$1046+AC$1048+AC$1050+AC$1052+AC$1054+AC$1056),3)</f>
        <v>#DIV/0!</v>
      </c>
      <c r="AD1078" s="191"/>
      <c r="AE1078" s="192" t="e">
        <f>ROUND(AE1077/(AE$1042+AE$1044+AE$1046+AE$1048+AE$1050+AE$1052+AE$1054+AE$1056),3)</f>
        <v>#DIV/0!</v>
      </c>
      <c r="AF1078" s="238"/>
      <c r="AG1078" s="188"/>
      <c r="AH1078" s="189"/>
      <c r="AI1078" s="188"/>
      <c r="AJ1078" s="159"/>
      <c r="AK1078" s="188"/>
      <c r="AL1078" s="191"/>
      <c r="AM1078" s="188"/>
      <c r="AN1078" s="229"/>
      <c r="AO1078" s="393"/>
    </row>
    <row r="1079" spans="2:41" ht="13.5" customHeight="1" x14ac:dyDescent="0.15">
      <c r="C1079" s="425">
        <v>16</v>
      </c>
      <c r="D1079" s="426"/>
      <c r="E1079" s="401" t="s">
        <v>341</v>
      </c>
      <c r="F1079" s="401"/>
      <c r="G1079" s="401"/>
      <c r="H1079" s="401"/>
      <c r="I1079" s="402"/>
      <c r="J1079" s="232">
        <v>2</v>
      </c>
      <c r="K1079" s="185">
        <v>389</v>
      </c>
      <c r="L1079" s="233">
        <v>2</v>
      </c>
      <c r="M1079" s="57">
        <v>41</v>
      </c>
      <c r="N1079" s="232">
        <v>2</v>
      </c>
      <c r="O1079" s="185">
        <v>389</v>
      </c>
      <c r="P1079" s="233">
        <v>2</v>
      </c>
      <c r="Q1079" s="57">
        <v>41</v>
      </c>
      <c r="R1079" s="233">
        <v>2</v>
      </c>
      <c r="S1079" s="272"/>
      <c r="W1079" s="383" t="s">
        <v>301</v>
      </c>
      <c r="X1079" s="201"/>
      <c r="Y1079" s="179">
        <f>AA1079+AC1079+AE1079</f>
        <v>0</v>
      </c>
      <c r="Z1079" s="202"/>
      <c r="AA1079" s="57">
        <v>0</v>
      </c>
      <c r="AB1079" s="236"/>
      <c r="AC1079" s="182">
        <v>0</v>
      </c>
      <c r="AD1079" s="183"/>
      <c r="AE1079" s="184">
        <v>0</v>
      </c>
      <c r="AF1079" s="201"/>
      <c r="AG1079" s="179"/>
      <c r="AH1079" s="202"/>
      <c r="AI1079" s="57"/>
      <c r="AJ1079" s="236"/>
      <c r="AK1079" s="182"/>
      <c r="AL1079" s="183"/>
      <c r="AM1079" s="179"/>
      <c r="AN1079" s="222"/>
      <c r="AO1079" s="392"/>
    </row>
    <row r="1080" spans="2:41" ht="13.5" customHeight="1" x14ac:dyDescent="0.15">
      <c r="C1080" s="425"/>
      <c r="D1080" s="426"/>
      <c r="E1080" s="403"/>
      <c r="F1080" s="403"/>
      <c r="G1080" s="403"/>
      <c r="H1080" s="403"/>
      <c r="I1080" s="404"/>
      <c r="J1080" s="234"/>
      <c r="K1080" s="188">
        <f>ROUND(K1079/K$1121,3)</f>
        <v>2.9470000000000001</v>
      </c>
      <c r="L1080" s="217"/>
      <c r="M1080" s="188">
        <f>ROUND(M1079/M$1121,3)</f>
        <v>0.621</v>
      </c>
      <c r="N1080" s="234"/>
      <c r="O1080" s="188">
        <f>ROUND(O1079/O$1121,3)</f>
        <v>5.8940000000000001</v>
      </c>
      <c r="P1080" s="217"/>
      <c r="Q1080" s="188">
        <f>ROUND(Q1079/Q$1121,3)</f>
        <v>0.621</v>
      </c>
      <c r="R1080" s="217"/>
      <c r="S1080" s="208"/>
      <c r="W1080" s="383"/>
      <c r="X1080" s="206"/>
      <c r="Y1080" s="188" t="e">
        <f>ROUND(Y1079/(Y$1042+Y$1044+Y$1046+Y$1048+Y$1050+Y$1052+Y$1054+Y$1056),3)</f>
        <v>#DIV/0!</v>
      </c>
      <c r="Z1080" s="189"/>
      <c r="AA1080" s="188" t="e">
        <f>ROUND(AA1079/(AA$1042+AA$1044+AA$1046+AA$1048+AA$1050+AA$1052+AA$1054+AA$1056),3)</f>
        <v>#DIV/0!</v>
      </c>
      <c r="AB1080" s="159"/>
      <c r="AC1080" s="188" t="e">
        <f>ROUND(AC1079/(AC$1042+AC$1044+AC$1046+AC$1048+AC$1050+AC$1052+AC$1054+AC$1056),3)</f>
        <v>#DIV/0!</v>
      </c>
      <c r="AD1080" s="191"/>
      <c r="AE1080" s="192" t="e">
        <f>ROUND(AE1079/(AE$1042+AE$1044+AE$1046+AE$1048+AE$1050+AE$1052+AE$1054+AE$1056),3)</f>
        <v>#DIV/0!</v>
      </c>
      <c r="AF1080" s="206"/>
      <c r="AG1080" s="188"/>
      <c r="AH1080" s="189"/>
      <c r="AI1080" s="188"/>
      <c r="AJ1080" s="159"/>
      <c r="AK1080" s="188"/>
      <c r="AL1080" s="191"/>
      <c r="AM1080" s="188"/>
      <c r="AN1080" s="229"/>
      <c r="AO1080" s="393"/>
    </row>
    <row r="1081" spans="2:41" x14ac:dyDescent="0.15">
      <c r="C1081" s="425">
        <v>11</v>
      </c>
      <c r="D1081" s="426"/>
      <c r="E1081" s="401" t="s">
        <v>342</v>
      </c>
      <c r="F1081" s="401"/>
      <c r="G1081" s="401"/>
      <c r="H1081" s="401"/>
      <c r="I1081" s="402"/>
      <c r="J1081" s="232">
        <v>3</v>
      </c>
      <c r="K1081" s="185">
        <v>385</v>
      </c>
      <c r="L1081" s="233">
        <v>4</v>
      </c>
      <c r="M1081" s="57">
        <v>30</v>
      </c>
      <c r="N1081" s="232">
        <v>3</v>
      </c>
      <c r="O1081" s="185">
        <v>385</v>
      </c>
      <c r="P1081" s="233">
        <v>4</v>
      </c>
      <c r="Q1081" s="57">
        <v>30</v>
      </c>
      <c r="R1081" s="233">
        <v>3</v>
      </c>
      <c r="S1081" s="272"/>
      <c r="W1081" s="426" t="s">
        <v>53</v>
      </c>
      <c r="X1081" s="119"/>
      <c r="Y1081" s="182">
        <f>Y1065+Y1067+Y1069+Y1071+Y1079+Y1075+Y1073+Y1077</f>
        <v>0</v>
      </c>
      <c r="Z1081" s="183"/>
      <c r="AA1081" s="179">
        <f>AA1065+AA1067+AA1069+AA1071+AA1079+AA1075+AA1073+AA1077</f>
        <v>0</v>
      </c>
      <c r="AB1081" s="63"/>
      <c r="AC1081" s="182">
        <f>AC1065+AC1067+AC1069+AC1071+AC1079+AC1075+AC1073+AC1077</f>
        <v>0</v>
      </c>
      <c r="AD1081" s="183"/>
      <c r="AE1081" s="184">
        <f>AE1065+AE1067+AE1069+AE1071+AE1079+AE1075+AE1073+AE1077</f>
        <v>0</v>
      </c>
      <c r="AF1081" s="119"/>
      <c r="AG1081" s="182"/>
      <c r="AH1081" s="183"/>
      <c r="AI1081" s="179"/>
      <c r="AJ1081" s="63"/>
      <c r="AK1081" s="182"/>
      <c r="AL1081" s="183"/>
      <c r="AM1081" s="179"/>
      <c r="AN1081" s="222"/>
      <c r="AO1081" s="179"/>
    </row>
    <row r="1082" spans="2:41" ht="14.25" customHeight="1" thickBot="1" x14ac:dyDescent="0.2">
      <c r="C1082" s="425"/>
      <c r="D1082" s="426"/>
      <c r="E1082" s="403"/>
      <c r="F1082" s="403"/>
      <c r="G1082" s="403"/>
      <c r="H1082" s="403"/>
      <c r="I1082" s="404"/>
      <c r="J1082" s="234"/>
      <c r="K1082" s="188">
        <f>ROUND(K1081/K$1121,3)</f>
        <v>2.9169999999999998</v>
      </c>
      <c r="L1082" s="217"/>
      <c r="M1082" s="188">
        <f>ROUND(M1081/M$1121,3)</f>
        <v>0.45500000000000002</v>
      </c>
      <c r="N1082" s="234"/>
      <c r="O1082" s="188">
        <f>ROUND(O1081/O$1121,3)</f>
        <v>5.8330000000000002</v>
      </c>
      <c r="P1082" s="217"/>
      <c r="Q1082" s="188">
        <f>ROUND(Q1081/Q$1121,3)</f>
        <v>0.45500000000000002</v>
      </c>
      <c r="R1082" s="217"/>
      <c r="S1082" s="208"/>
      <c r="W1082" s="426"/>
      <c r="X1082" s="209"/>
      <c r="Y1082" s="210" t="e">
        <f>Y1066+Y1068+Y1070+Y1072+Y1080+Y1076+Y1074+Y1078</f>
        <v>#DIV/0!</v>
      </c>
      <c r="Z1082" s="211"/>
      <c r="AA1082" s="273" t="e">
        <f>AA1066+AA1068+AA1070+AA1072+AA1080+AA1076+AA1074+AA1078</f>
        <v>#DIV/0!</v>
      </c>
      <c r="AB1082" s="213"/>
      <c r="AC1082" s="210" t="e">
        <f>AC1066+AC1068+AC1070+AC1072+AC1080+AC1076+AC1074+AC1078</f>
        <v>#DIV/0!</v>
      </c>
      <c r="AD1082" s="211"/>
      <c r="AE1082" s="214" t="e">
        <f>AE1066+AE1068+AE1070+AE1072+AE1080+AE1076+AE1074+AE1078</f>
        <v>#DIV/0!</v>
      </c>
      <c r="AF1082" s="274"/>
      <c r="AG1082" s="275"/>
      <c r="AH1082" s="217"/>
      <c r="AI1082" s="276"/>
      <c r="AJ1082" s="219"/>
      <c r="AK1082" s="275"/>
      <c r="AL1082" s="217"/>
      <c r="AM1082" s="276"/>
      <c r="AN1082" s="277"/>
      <c r="AO1082" s="276"/>
    </row>
    <row r="1083" spans="2:41" ht="13.5" customHeight="1" x14ac:dyDescent="0.15">
      <c r="C1083" s="425">
        <v>8</v>
      </c>
      <c r="D1083" s="426"/>
      <c r="E1083" s="401" t="s">
        <v>343</v>
      </c>
      <c r="F1083" s="401"/>
      <c r="G1083" s="401"/>
      <c r="H1083" s="401"/>
      <c r="I1083" s="402"/>
      <c r="J1083" s="232">
        <v>4</v>
      </c>
      <c r="K1083" s="185">
        <v>374</v>
      </c>
      <c r="L1083" s="233">
        <v>3</v>
      </c>
      <c r="M1083" s="57">
        <v>38</v>
      </c>
      <c r="N1083" s="232">
        <v>4</v>
      </c>
      <c r="O1083" s="185">
        <v>374</v>
      </c>
      <c r="P1083" s="233">
        <v>3</v>
      </c>
      <c r="Q1083" s="57">
        <v>38</v>
      </c>
      <c r="R1083" s="233">
        <v>4</v>
      </c>
      <c r="S1083" s="272"/>
    </row>
    <row r="1084" spans="2:41" ht="13.5" customHeight="1" x14ac:dyDescent="0.15">
      <c r="C1084" s="425"/>
      <c r="D1084" s="426"/>
      <c r="E1084" s="403"/>
      <c r="F1084" s="403"/>
      <c r="G1084" s="403"/>
      <c r="H1084" s="403"/>
      <c r="I1084" s="404"/>
      <c r="J1084" s="234"/>
      <c r="K1084" s="188">
        <f>ROUND(K1083/K$1121,3)</f>
        <v>2.8330000000000002</v>
      </c>
      <c r="L1084" s="217"/>
      <c r="M1084" s="188">
        <f>ROUND(M1083/M$1121,3)</f>
        <v>0.57599999999999996</v>
      </c>
      <c r="N1084" s="234"/>
      <c r="O1084" s="188">
        <f>ROUND(O1083/O$1121,3)</f>
        <v>5.6669999999999998</v>
      </c>
      <c r="P1084" s="217"/>
      <c r="Q1084" s="188">
        <f>ROUND(Q1083/Q$1121,3)</f>
        <v>0.57599999999999996</v>
      </c>
      <c r="R1084" s="217"/>
      <c r="S1084" s="208"/>
    </row>
    <row r="1085" spans="2:41" ht="14.25" customHeight="1" thickBot="1" x14ac:dyDescent="0.2">
      <c r="C1085" s="425">
        <v>3</v>
      </c>
      <c r="D1085" s="426"/>
      <c r="E1085" s="401" t="s">
        <v>344</v>
      </c>
      <c r="F1085" s="401"/>
      <c r="G1085" s="401"/>
      <c r="H1085" s="401"/>
      <c r="I1085" s="402"/>
      <c r="J1085" s="232">
        <v>5</v>
      </c>
      <c r="K1085" s="185">
        <v>327</v>
      </c>
      <c r="L1085" s="233">
        <v>8</v>
      </c>
      <c r="M1085" s="57">
        <v>16</v>
      </c>
      <c r="N1085" s="232">
        <v>5</v>
      </c>
      <c r="O1085" s="185">
        <v>327</v>
      </c>
      <c r="P1085" s="233">
        <v>8</v>
      </c>
      <c r="Q1085" s="57">
        <v>16</v>
      </c>
      <c r="R1085" s="233">
        <v>5</v>
      </c>
      <c r="S1085" s="272"/>
      <c r="W1085" s="174" t="s">
        <v>345</v>
      </c>
      <c r="X1085" s="2"/>
      <c r="Y1085" s="2"/>
      <c r="Z1085" s="2"/>
      <c r="AA1085" s="2"/>
      <c r="AB1085" s="2"/>
      <c r="AC1085" s="11"/>
      <c r="AD1085" s="2"/>
      <c r="AE1085" s="2"/>
      <c r="AF1085" s="2"/>
      <c r="AG1085" s="2"/>
      <c r="AH1085" s="2"/>
      <c r="AI1085" s="2"/>
      <c r="AJ1085" s="2"/>
      <c r="AK1085" s="2"/>
      <c r="AL1085" s="2"/>
      <c r="AM1085" s="2"/>
      <c r="AN1085" s="146"/>
    </row>
    <row r="1086" spans="2:41" ht="13.5" customHeight="1" x14ac:dyDescent="0.15">
      <c r="C1086" s="425"/>
      <c r="D1086" s="426"/>
      <c r="E1086" s="403"/>
      <c r="F1086" s="403"/>
      <c r="G1086" s="403"/>
      <c r="H1086" s="403"/>
      <c r="I1086" s="404"/>
      <c r="J1086" s="234"/>
      <c r="K1086" s="188">
        <f>ROUND(K1085/K$1121,3)</f>
        <v>2.4769999999999999</v>
      </c>
      <c r="L1086" s="217"/>
      <c r="M1086" s="188">
        <f>ROUND(M1085/M$1121,3)</f>
        <v>0.24199999999999999</v>
      </c>
      <c r="N1086" s="234"/>
      <c r="O1086" s="188">
        <f>ROUND(O1085/O$1121,3)</f>
        <v>4.9550000000000001</v>
      </c>
      <c r="P1086" s="217"/>
      <c r="Q1086" s="188">
        <f>ROUND(Q1085/Q$1121,3)</f>
        <v>0.24199999999999999</v>
      </c>
      <c r="R1086" s="217"/>
      <c r="S1086" s="208"/>
      <c r="W1086" s="2"/>
      <c r="X1086" s="175"/>
      <c r="Y1086" s="384" t="s">
        <v>273</v>
      </c>
      <c r="Z1086" s="384"/>
      <c r="AA1086" s="384"/>
      <c r="AB1086" s="384"/>
      <c r="AC1086" s="384"/>
      <c r="AD1086" s="384"/>
      <c r="AE1086" s="385"/>
      <c r="AF1086" s="145"/>
      <c r="AG1086" s="386" t="s">
        <v>274</v>
      </c>
      <c r="AH1086" s="386"/>
      <c r="AI1086" s="386"/>
      <c r="AJ1086" s="386"/>
      <c r="AK1086" s="386"/>
      <c r="AL1086" s="386"/>
      <c r="AM1086" s="387"/>
      <c r="AN1086" s="378" t="s">
        <v>303</v>
      </c>
      <c r="AO1086" s="379"/>
    </row>
    <row r="1087" spans="2:41" ht="13.5" customHeight="1" x14ac:dyDescent="0.15">
      <c r="C1087" s="425">
        <v>17</v>
      </c>
      <c r="D1087" s="426"/>
      <c r="E1087" s="401" t="s">
        <v>199</v>
      </c>
      <c r="F1087" s="401"/>
      <c r="G1087" s="401"/>
      <c r="H1087" s="401"/>
      <c r="I1087" s="402"/>
      <c r="J1087" s="232">
        <v>6</v>
      </c>
      <c r="K1087" s="185">
        <v>269</v>
      </c>
      <c r="L1087" s="233">
        <v>5</v>
      </c>
      <c r="M1087" s="57">
        <v>26</v>
      </c>
      <c r="N1087" s="232">
        <v>6</v>
      </c>
      <c r="O1087" s="185">
        <v>269</v>
      </c>
      <c r="P1087" s="233">
        <v>5</v>
      </c>
      <c r="Q1087" s="57">
        <v>26</v>
      </c>
      <c r="R1087" s="233">
        <v>6</v>
      </c>
      <c r="S1087" s="272"/>
      <c r="W1087" s="2"/>
      <c r="X1087" s="110"/>
      <c r="Y1087" s="19"/>
      <c r="Z1087" s="394" t="s">
        <v>29</v>
      </c>
      <c r="AA1087" s="394"/>
      <c r="AB1087" s="408" t="s">
        <v>30</v>
      </c>
      <c r="AC1087" s="396"/>
      <c r="AD1087" s="376" t="s">
        <v>31</v>
      </c>
      <c r="AE1087" s="409"/>
      <c r="AF1087" s="110"/>
      <c r="AG1087" s="19"/>
      <c r="AH1087" s="394" t="s">
        <v>29</v>
      </c>
      <c r="AI1087" s="394"/>
      <c r="AJ1087" s="395" t="s">
        <v>30</v>
      </c>
      <c r="AK1087" s="396"/>
      <c r="AL1087" s="376" t="s">
        <v>31</v>
      </c>
      <c r="AM1087" s="377"/>
      <c r="AN1087" s="378" t="s">
        <v>289</v>
      </c>
      <c r="AO1087" s="379"/>
    </row>
    <row r="1088" spans="2:41" ht="13.5" customHeight="1" x14ac:dyDescent="0.15">
      <c r="C1088" s="425"/>
      <c r="D1088" s="426"/>
      <c r="E1088" s="403"/>
      <c r="F1088" s="403"/>
      <c r="G1088" s="403"/>
      <c r="H1088" s="403"/>
      <c r="I1088" s="404"/>
      <c r="J1088" s="234"/>
      <c r="K1088" s="188">
        <f>ROUND(K1087/K$1121,3)</f>
        <v>2.0379999999999998</v>
      </c>
      <c r="L1088" s="217"/>
      <c r="M1088" s="188">
        <f>ROUND(M1087/M$1121,3)</f>
        <v>0.39400000000000002</v>
      </c>
      <c r="N1088" s="234"/>
      <c r="O1088" s="188">
        <f>ROUND(O1087/O$1121,3)</f>
        <v>4.0759999999999996</v>
      </c>
      <c r="P1088" s="217"/>
      <c r="Q1088" s="188">
        <f>ROUND(Q1087/Q$1121,3)</f>
        <v>0.39400000000000002</v>
      </c>
      <c r="R1088" s="217"/>
      <c r="S1088" s="208"/>
      <c r="W1088" s="381" t="s">
        <v>346</v>
      </c>
      <c r="X1088" s="145"/>
      <c r="Y1088" s="179">
        <f>AA1088+AC1088+AE1088</f>
        <v>0</v>
      </c>
      <c r="Z1088" s="180"/>
      <c r="AA1088" s="57">
        <v>0</v>
      </c>
      <c r="AB1088" s="221"/>
      <c r="AC1088" s="182">
        <v>0</v>
      </c>
      <c r="AD1088" s="183"/>
      <c r="AE1088" s="184">
        <v>0</v>
      </c>
      <c r="AF1088" s="145"/>
      <c r="AG1088" s="392"/>
      <c r="AH1088" s="180"/>
      <c r="AI1088" s="392"/>
      <c r="AJ1088" s="221"/>
      <c r="AK1088" s="392"/>
      <c r="AL1088" s="183"/>
      <c r="AM1088" s="392"/>
      <c r="AN1088" s="222"/>
      <c r="AO1088" s="429"/>
    </row>
    <row r="1089" spans="3:41" ht="13.5" customHeight="1" x14ac:dyDescent="0.15">
      <c r="C1089" s="425">
        <v>14</v>
      </c>
      <c r="D1089" s="426"/>
      <c r="E1089" s="401" t="s">
        <v>347</v>
      </c>
      <c r="F1089" s="401"/>
      <c r="G1089" s="401"/>
      <c r="H1089" s="401"/>
      <c r="I1089" s="402"/>
      <c r="J1089" s="232">
        <v>7</v>
      </c>
      <c r="K1089" s="185">
        <v>243</v>
      </c>
      <c r="L1089" s="233">
        <v>6</v>
      </c>
      <c r="M1089" s="57">
        <v>19</v>
      </c>
      <c r="N1089" s="232">
        <v>7</v>
      </c>
      <c r="O1089" s="185">
        <v>243</v>
      </c>
      <c r="P1089" s="233">
        <v>6</v>
      </c>
      <c r="Q1089" s="57">
        <v>19</v>
      </c>
      <c r="R1089" s="233">
        <v>7</v>
      </c>
      <c r="S1089" s="272"/>
      <c r="W1089" s="382"/>
      <c r="X1089" s="110"/>
      <c r="Y1089" s="188" t="e">
        <f>ROUND(Y1088/(Y$1042+Y$1044+Y$1046+Y$1048+Y$1050+Y$1052+Y$1054+Y$1056),3)</f>
        <v>#DIV/0!</v>
      </c>
      <c r="Z1089" s="189"/>
      <c r="AA1089" s="188" t="e">
        <f>ROUND(AA1088/(AA$1042+AA$1044+AA$1046+AA$1048+AA$1050+AA$1052+AA$1054+AA$1056),3)</f>
        <v>#DIV/0!</v>
      </c>
      <c r="AB1089" s="159"/>
      <c r="AC1089" s="188" t="e">
        <f>ROUND(AC1088/(AC$1042+AC$1044+AC$1046+AC$1048+AC$1050+AC$1052+AC$1054+AC$1056),3)</f>
        <v>#DIV/0!</v>
      </c>
      <c r="AD1089" s="191"/>
      <c r="AE1089" s="192" t="e">
        <f>ROUND(AE1088/(AE$1042+AE$1044+AE$1046+AE$1048+AE$1050+AE$1052+AE$1054+AE$1056),3)</f>
        <v>#DIV/0!</v>
      </c>
      <c r="AF1089" s="110"/>
      <c r="AG1089" s="393"/>
      <c r="AH1089" s="189"/>
      <c r="AI1089" s="393"/>
      <c r="AJ1089" s="159"/>
      <c r="AK1089" s="393"/>
      <c r="AL1089" s="191"/>
      <c r="AM1089" s="393"/>
      <c r="AN1089" s="223"/>
      <c r="AO1089" s="430"/>
    </row>
    <row r="1090" spans="3:41" ht="13.5" customHeight="1" x14ac:dyDescent="0.15">
      <c r="C1090" s="425"/>
      <c r="D1090" s="426"/>
      <c r="E1090" s="403"/>
      <c r="F1090" s="403"/>
      <c r="G1090" s="403"/>
      <c r="H1090" s="403"/>
      <c r="I1090" s="404"/>
      <c r="J1090" s="234"/>
      <c r="K1090" s="188">
        <f>ROUND(K1089/K$1121,3)</f>
        <v>1.841</v>
      </c>
      <c r="L1090" s="217"/>
      <c r="M1090" s="188">
        <f>ROUND(M1089/M$1121,3)</f>
        <v>0.28799999999999998</v>
      </c>
      <c r="N1090" s="234"/>
      <c r="O1090" s="188">
        <f>ROUND(O1089/O$1121,3)</f>
        <v>3.6819999999999999</v>
      </c>
      <c r="P1090" s="217"/>
      <c r="Q1090" s="188">
        <f>ROUND(Q1089/Q$1121,3)</f>
        <v>0.28799999999999998</v>
      </c>
      <c r="R1090" s="217"/>
      <c r="S1090" s="208"/>
      <c r="W1090" s="224" t="s">
        <v>348</v>
      </c>
      <c r="X1090" s="145"/>
      <c r="Y1090" s="179">
        <f>AA1090+AC1090+AE1090</f>
        <v>0</v>
      </c>
      <c r="Z1090" s="180"/>
      <c r="AA1090" s="57">
        <v>0</v>
      </c>
      <c r="AB1090" s="221"/>
      <c r="AC1090" s="182">
        <v>0</v>
      </c>
      <c r="AD1090" s="183"/>
      <c r="AE1090" s="184">
        <v>0</v>
      </c>
      <c r="AF1090" s="145"/>
      <c r="AG1090" s="179"/>
      <c r="AH1090" s="180"/>
      <c r="AI1090" s="57"/>
      <c r="AJ1090" s="221"/>
      <c r="AK1090" s="182"/>
      <c r="AL1090" s="183"/>
      <c r="AM1090" s="179"/>
      <c r="AN1090" s="222"/>
      <c r="AO1090" s="179"/>
    </row>
    <row r="1091" spans="3:41" ht="13.5" customHeight="1" x14ac:dyDescent="0.15">
      <c r="C1091" s="425">
        <v>12</v>
      </c>
      <c r="D1091" s="426"/>
      <c r="E1091" s="401" t="s">
        <v>349</v>
      </c>
      <c r="F1091" s="401"/>
      <c r="G1091" s="401"/>
      <c r="H1091" s="401"/>
      <c r="I1091" s="402"/>
      <c r="J1091" s="232">
        <v>8</v>
      </c>
      <c r="K1091" s="185">
        <v>216</v>
      </c>
      <c r="L1091" s="233">
        <v>10</v>
      </c>
      <c r="M1091" s="57">
        <v>13</v>
      </c>
      <c r="N1091" s="232">
        <v>8</v>
      </c>
      <c r="O1091" s="185">
        <v>216</v>
      </c>
      <c r="P1091" s="233">
        <v>10</v>
      </c>
      <c r="Q1091" s="57">
        <v>13</v>
      </c>
      <c r="R1091" s="233">
        <v>8</v>
      </c>
      <c r="S1091" s="272"/>
      <c r="W1091" s="225" t="s">
        <v>350</v>
      </c>
      <c r="X1091" s="110"/>
      <c r="Y1091" s="188" t="e">
        <f>ROUND(Y1090/(Y$1042+Y$1044+Y$1046+Y$1048+Y$1050+Y$1052+Y$1054+Y$1056),3)</f>
        <v>#DIV/0!</v>
      </c>
      <c r="Z1091" s="189"/>
      <c r="AA1091" s="188" t="e">
        <f>ROUND(AA1090/(AA$1042+AA$1044+AA$1046+AA$1048+AA$1050+AA$1052+AA$1054+AA$1056),3)</f>
        <v>#DIV/0!</v>
      </c>
      <c r="AB1091" s="159"/>
      <c r="AC1091" s="188" t="e">
        <f>ROUND(AC1090/(AC$1042+AC$1044+AC$1046+AC$1048+AC$1050+AC$1052+AC$1054+AC$1056),3)</f>
        <v>#DIV/0!</v>
      </c>
      <c r="AD1091" s="191"/>
      <c r="AE1091" s="192" t="e">
        <f>ROUND(AE1090/(AE$1021+AE$1023+AE$1025+AE$1027+AE$1029+AE$1031+AE$1033),3)</f>
        <v>#DIV/0!</v>
      </c>
      <c r="AF1091" s="110"/>
      <c r="AG1091" s="188"/>
      <c r="AH1091" s="189"/>
      <c r="AI1091" s="188"/>
      <c r="AJ1091" s="159"/>
      <c r="AK1091" s="188"/>
      <c r="AL1091" s="191"/>
      <c r="AM1091" s="188"/>
      <c r="AN1091" s="226"/>
      <c r="AO1091" s="188"/>
    </row>
    <row r="1092" spans="3:41" ht="13.5" customHeight="1" x14ac:dyDescent="0.15">
      <c r="C1092" s="425"/>
      <c r="D1092" s="426"/>
      <c r="E1092" s="403"/>
      <c r="F1092" s="403"/>
      <c r="G1092" s="403"/>
      <c r="H1092" s="403"/>
      <c r="I1092" s="404"/>
      <c r="J1092" s="234"/>
      <c r="K1092" s="188">
        <f>ROUND(K1091/K$1121,3)</f>
        <v>1.6359999999999999</v>
      </c>
      <c r="L1092" s="217"/>
      <c r="M1092" s="188">
        <f>ROUND(M1091/M$1121,3)</f>
        <v>0.19700000000000001</v>
      </c>
      <c r="N1092" s="234"/>
      <c r="O1092" s="188">
        <f>ROUND(O1091/O$1121,3)</f>
        <v>3.2730000000000001</v>
      </c>
      <c r="P1092" s="217"/>
      <c r="Q1092" s="188">
        <f>ROUND(Q1091/Q$1121,3)</f>
        <v>0.19700000000000001</v>
      </c>
      <c r="R1092" s="217"/>
      <c r="S1092" s="208"/>
      <c r="W1092" s="381" t="s">
        <v>351</v>
      </c>
      <c r="X1092" s="145"/>
      <c r="Y1092" s="179">
        <f>AA1092+AC1092+AE1092</f>
        <v>0</v>
      </c>
      <c r="Z1092" s="180"/>
      <c r="AA1092" s="57">
        <v>0</v>
      </c>
      <c r="AB1092" s="221"/>
      <c r="AC1092" s="182">
        <v>0</v>
      </c>
      <c r="AD1092" s="183"/>
      <c r="AE1092" s="184">
        <v>0</v>
      </c>
      <c r="AF1092" s="145"/>
      <c r="AG1092" s="179"/>
      <c r="AH1092" s="180"/>
      <c r="AI1092" s="57"/>
      <c r="AJ1092" s="221"/>
      <c r="AK1092" s="182"/>
      <c r="AL1092" s="183"/>
      <c r="AM1092" s="179"/>
      <c r="AN1092" s="222"/>
      <c r="AO1092" s="179"/>
    </row>
    <row r="1093" spans="3:41" ht="13.5" customHeight="1" x14ac:dyDescent="0.15">
      <c r="C1093" s="425">
        <v>7</v>
      </c>
      <c r="D1093" s="426"/>
      <c r="E1093" s="401" t="s">
        <v>213</v>
      </c>
      <c r="F1093" s="401"/>
      <c r="G1093" s="401"/>
      <c r="H1093" s="401"/>
      <c r="I1093" s="402"/>
      <c r="J1093" s="232">
        <v>9</v>
      </c>
      <c r="K1093" s="185">
        <v>214</v>
      </c>
      <c r="L1093" s="233">
        <v>9</v>
      </c>
      <c r="M1093" s="57">
        <v>15</v>
      </c>
      <c r="N1093" s="232">
        <v>9</v>
      </c>
      <c r="O1093" s="185">
        <v>214</v>
      </c>
      <c r="P1093" s="233">
        <v>9</v>
      </c>
      <c r="Q1093" s="57">
        <v>15</v>
      </c>
      <c r="R1093" s="233">
        <v>9</v>
      </c>
      <c r="S1093" s="272"/>
      <c r="W1093" s="382"/>
      <c r="X1093" s="110"/>
      <c r="Y1093" s="188" t="e">
        <f>ROUND(Y1092/(Y$1042+Y$1044+Y$1046+Y$1048+Y$1050+Y$1052+Y$1054+Y$1056),3)</f>
        <v>#DIV/0!</v>
      </c>
      <c r="Z1093" s="189"/>
      <c r="AA1093" s="188" t="e">
        <f>ROUND(AA1092/(AA$1042+AA$1044+AA$1046+AA$1048+AA$1050+AA$1052+AA$1054+AA$1056),3)</f>
        <v>#DIV/0!</v>
      </c>
      <c r="AB1093" s="159"/>
      <c r="AC1093" s="188" t="e">
        <f>ROUND(AC1092/(AC$1042+AC$1044+AC$1046+AC$1048+AC$1050+AC$1052+AC$1054+AC$1056),3)</f>
        <v>#DIV/0!</v>
      </c>
      <c r="AD1093" s="191"/>
      <c r="AE1093" s="192" t="e">
        <f>ROUND(AE1092/(AE$1042+AE$1044+AE$1046+AE$1048+AE$1050+AE$1052+AE$1054+AE$1056),3)</f>
        <v>#DIV/0!</v>
      </c>
      <c r="AF1093" s="110"/>
      <c r="AG1093" s="188"/>
      <c r="AH1093" s="189"/>
      <c r="AI1093" s="188"/>
      <c r="AJ1093" s="159"/>
      <c r="AK1093" s="188"/>
      <c r="AL1093" s="191"/>
      <c r="AM1093" s="188"/>
      <c r="AN1093" s="229"/>
      <c r="AO1093" s="188"/>
    </row>
    <row r="1094" spans="3:41" ht="13.5" customHeight="1" x14ac:dyDescent="0.15">
      <c r="C1094" s="425"/>
      <c r="D1094" s="426"/>
      <c r="E1094" s="403"/>
      <c r="F1094" s="403"/>
      <c r="G1094" s="403"/>
      <c r="H1094" s="403"/>
      <c r="I1094" s="404"/>
      <c r="J1094" s="234"/>
      <c r="K1094" s="188">
        <f>ROUND(K1093/K$1121,3)</f>
        <v>1.621</v>
      </c>
      <c r="L1094" s="217"/>
      <c r="M1094" s="188">
        <f>ROUND(M1093/M$1121,3)</f>
        <v>0.22700000000000001</v>
      </c>
      <c r="N1094" s="234"/>
      <c r="O1094" s="188">
        <f>ROUND(O1093/O$1121,3)</f>
        <v>3.242</v>
      </c>
      <c r="P1094" s="217"/>
      <c r="Q1094" s="188">
        <f>ROUND(Q1093/Q$1121,3)</f>
        <v>0.22700000000000001</v>
      </c>
      <c r="R1094" s="217"/>
      <c r="S1094" s="208"/>
      <c r="W1094" s="195" t="s">
        <v>352</v>
      </c>
      <c r="X1094" s="145"/>
      <c r="Y1094" s="179">
        <f>AA1094+AC1094+AE1094</f>
        <v>0</v>
      </c>
      <c r="Z1094" s="180"/>
      <c r="AA1094" s="57">
        <v>0</v>
      </c>
      <c r="AB1094" s="221"/>
      <c r="AC1094" s="182">
        <v>0</v>
      </c>
      <c r="AD1094" s="183"/>
      <c r="AE1094" s="184">
        <v>0</v>
      </c>
      <c r="AF1094" s="145"/>
      <c r="AG1094" s="179"/>
      <c r="AH1094" s="180"/>
      <c r="AI1094" s="57"/>
      <c r="AJ1094" s="221"/>
      <c r="AK1094" s="182"/>
      <c r="AL1094" s="183"/>
      <c r="AM1094" s="179"/>
      <c r="AN1094" s="222"/>
      <c r="AO1094" s="179"/>
    </row>
    <row r="1095" spans="3:41" ht="13.5" customHeight="1" x14ac:dyDescent="0.15">
      <c r="C1095" s="427">
        <v>1</v>
      </c>
      <c r="D1095" s="428"/>
      <c r="E1095" s="401" t="s">
        <v>225</v>
      </c>
      <c r="F1095" s="401"/>
      <c r="G1095" s="401"/>
      <c r="H1095" s="401"/>
      <c r="I1095" s="402"/>
      <c r="J1095" s="232">
        <v>10</v>
      </c>
      <c r="K1095" s="185">
        <v>185</v>
      </c>
      <c r="L1095" s="233">
        <v>12</v>
      </c>
      <c r="M1095" s="57">
        <v>11</v>
      </c>
      <c r="N1095" s="278">
        <v>10</v>
      </c>
      <c r="O1095" s="279">
        <v>185</v>
      </c>
      <c r="P1095" s="280">
        <v>12</v>
      </c>
      <c r="Q1095" s="281">
        <v>11</v>
      </c>
      <c r="R1095" s="280">
        <v>10</v>
      </c>
      <c r="S1095" s="282"/>
      <c r="W1095" s="196" t="s">
        <v>353</v>
      </c>
      <c r="X1095" s="110"/>
      <c r="Y1095" s="188" t="e">
        <f>ROUND(Y1094/(Y$1042+Y$1044+Y$1046+Y$1048+Y$1050+Y$1052+Y$1054+Y$1056),3)</f>
        <v>#DIV/0!</v>
      </c>
      <c r="Z1095" s="189"/>
      <c r="AA1095" s="188" t="e">
        <f>ROUND(AA1094/(AA$1042+AA$1044+AA$1046+AA$1048+AA$1050+AA$1052+AA$1054+AA$1056),3)</f>
        <v>#DIV/0!</v>
      </c>
      <c r="AB1095" s="159"/>
      <c r="AC1095" s="188" t="e">
        <f>ROUND(AC1094/(AC$1042+AC$1044+AC$1046+AC$1048+AC$1050+AC$1052+AC$1054+AC$1056),3)</f>
        <v>#DIV/0!</v>
      </c>
      <c r="AD1095" s="191"/>
      <c r="AE1095" s="192" t="e">
        <f>ROUND(AE1094/(AE$1042+AE$1044+AE$1046+AE$1048+AE$1050+AE$1052+AE$1054+AE$1056),3)</f>
        <v>#DIV/0!</v>
      </c>
      <c r="AF1095" s="110"/>
      <c r="AG1095" s="188"/>
      <c r="AH1095" s="189"/>
      <c r="AI1095" s="188"/>
      <c r="AJ1095" s="159"/>
      <c r="AK1095" s="188"/>
      <c r="AL1095" s="191"/>
      <c r="AM1095" s="188"/>
      <c r="AN1095" s="229"/>
      <c r="AO1095" s="188"/>
    </row>
    <row r="1096" spans="3:41" ht="13.5" customHeight="1" x14ac:dyDescent="0.15">
      <c r="C1096" s="427"/>
      <c r="D1096" s="428"/>
      <c r="E1096" s="403"/>
      <c r="F1096" s="403"/>
      <c r="G1096" s="403"/>
      <c r="H1096" s="403"/>
      <c r="I1096" s="404"/>
      <c r="J1096" s="234"/>
      <c r="K1096" s="188">
        <f>ROUND(K1095/K$1121,3)</f>
        <v>1.4019999999999999</v>
      </c>
      <c r="L1096" s="217"/>
      <c r="M1096" s="188">
        <f>ROUND(M1095/M$1121,3)</f>
        <v>0.16700000000000001</v>
      </c>
      <c r="N1096" s="283"/>
      <c r="O1096" s="284">
        <f>ROUND(O1095/O$1121,3)</f>
        <v>2.8029999999999999</v>
      </c>
      <c r="P1096" s="285"/>
      <c r="Q1096" s="284">
        <f>ROUND(Q1095/Q$1121,3)</f>
        <v>0.16700000000000001</v>
      </c>
      <c r="R1096" s="285"/>
      <c r="S1096" s="286"/>
      <c r="W1096" s="381" t="s">
        <v>354</v>
      </c>
      <c r="X1096" s="197"/>
      <c r="Y1096" s="179">
        <f>AA1096+AC1096+AE1096</f>
        <v>0</v>
      </c>
      <c r="Z1096" s="198"/>
      <c r="AA1096" s="57">
        <v>0</v>
      </c>
      <c r="AB1096" s="221"/>
      <c r="AC1096" s="182">
        <v>0</v>
      </c>
      <c r="AD1096" s="183"/>
      <c r="AE1096" s="184">
        <v>0</v>
      </c>
      <c r="AF1096" s="197"/>
      <c r="AG1096" s="179"/>
      <c r="AH1096" s="198"/>
      <c r="AI1096" s="57"/>
      <c r="AJ1096" s="221"/>
      <c r="AK1096" s="182"/>
      <c r="AL1096" s="183"/>
      <c r="AM1096" s="179"/>
      <c r="AN1096" s="222"/>
      <c r="AO1096" s="179"/>
    </row>
    <row r="1097" spans="3:41" ht="13.5" customHeight="1" x14ac:dyDescent="0.15">
      <c r="C1097" s="427">
        <v>18</v>
      </c>
      <c r="D1097" s="428"/>
      <c r="E1097" s="401" t="s">
        <v>355</v>
      </c>
      <c r="F1097" s="401"/>
      <c r="G1097" s="401"/>
      <c r="H1097" s="401"/>
      <c r="I1097" s="402"/>
      <c r="J1097" s="232">
        <v>11</v>
      </c>
      <c r="K1097" s="185">
        <v>147</v>
      </c>
      <c r="L1097" s="233">
        <v>6</v>
      </c>
      <c r="M1097" s="57">
        <v>19</v>
      </c>
      <c r="N1097" s="278">
        <v>11</v>
      </c>
      <c r="O1097" s="279">
        <v>147</v>
      </c>
      <c r="P1097" s="280">
        <v>6</v>
      </c>
      <c r="Q1097" s="281">
        <v>19</v>
      </c>
      <c r="R1097" s="280">
        <v>12</v>
      </c>
      <c r="S1097" s="282"/>
      <c r="W1097" s="382"/>
      <c r="X1097" s="197"/>
      <c r="Y1097" s="188" t="e">
        <f>ROUND(Y1096/(Y$1042+Y$1044+Y$1046+Y$1048+Y$1050+Y$1052+Y$1054+Y$1056),3)</f>
        <v>#DIV/0!</v>
      </c>
      <c r="Z1097" s="189"/>
      <c r="AA1097" s="188" t="e">
        <f>ROUND(AA1096/(AA$1042+AA$1044+AA$1046+AA$1048+AA$1050+AA$1052+AA$1054+AA$1056),3)</f>
        <v>#DIV/0!</v>
      </c>
      <c r="AB1097" s="159"/>
      <c r="AC1097" s="188" t="e">
        <f>ROUND(AC1096/(AC$1042+AC$1044+AC$1046+AC$1048+AC$1050+AC$1052+AC$1054+AC$1056),3)</f>
        <v>#DIV/0!</v>
      </c>
      <c r="AD1097" s="191"/>
      <c r="AE1097" s="192" t="e">
        <f>ROUND(AE1096/(AE$1042+AE$1044+AE$1046+AE$1048+AE$1050+AE$1052+AE$1054+AE$1056),3)</f>
        <v>#DIV/0!</v>
      </c>
      <c r="AF1097" s="197"/>
      <c r="AG1097" s="188"/>
      <c r="AH1097" s="189"/>
      <c r="AI1097" s="188"/>
      <c r="AJ1097" s="159"/>
      <c r="AK1097" s="188"/>
      <c r="AL1097" s="191"/>
      <c r="AM1097" s="188"/>
      <c r="AN1097" s="229"/>
      <c r="AO1097" s="188"/>
    </row>
    <row r="1098" spans="3:41" ht="13.5" customHeight="1" x14ac:dyDescent="0.15">
      <c r="C1098" s="427"/>
      <c r="D1098" s="428"/>
      <c r="E1098" s="403"/>
      <c r="F1098" s="403"/>
      <c r="G1098" s="403"/>
      <c r="H1098" s="403"/>
      <c r="I1098" s="404"/>
      <c r="J1098" s="234"/>
      <c r="K1098" s="188">
        <f>ROUND(K1097/K$1121,3)</f>
        <v>1.1140000000000001</v>
      </c>
      <c r="L1098" s="217"/>
      <c r="M1098" s="188">
        <f>ROUND(M1097/M$1121,3)</f>
        <v>0.28799999999999998</v>
      </c>
      <c r="N1098" s="283"/>
      <c r="O1098" s="284">
        <f>ROUND(O1097/O$1121,3)</f>
        <v>2.2269999999999999</v>
      </c>
      <c r="P1098" s="285"/>
      <c r="Q1098" s="284">
        <f>ROUND(Q1097/Q$1121,3)</f>
        <v>0.28799999999999998</v>
      </c>
      <c r="R1098" s="285"/>
      <c r="S1098" s="286"/>
      <c r="W1098" s="381" t="s">
        <v>340</v>
      </c>
      <c r="X1098" s="201"/>
      <c r="Y1098" s="179">
        <f>AA1098+AC1098+AE1098</f>
        <v>0</v>
      </c>
      <c r="Z1098" s="202"/>
      <c r="AA1098" s="57">
        <v>0</v>
      </c>
      <c r="AB1098" s="236"/>
      <c r="AC1098" s="182">
        <v>0</v>
      </c>
      <c r="AD1098" s="183"/>
      <c r="AE1098" s="184">
        <v>0</v>
      </c>
      <c r="AF1098" s="201"/>
      <c r="AG1098" s="179"/>
      <c r="AH1098" s="202"/>
      <c r="AI1098" s="57"/>
      <c r="AJ1098" s="236"/>
      <c r="AK1098" s="182"/>
      <c r="AL1098" s="183"/>
      <c r="AM1098" s="179"/>
      <c r="AN1098" s="222"/>
      <c r="AO1098" s="179"/>
    </row>
    <row r="1099" spans="3:41" ht="13.5" customHeight="1" x14ac:dyDescent="0.15">
      <c r="C1099" s="427">
        <v>5</v>
      </c>
      <c r="D1099" s="428"/>
      <c r="E1099" s="401" t="s">
        <v>215</v>
      </c>
      <c r="F1099" s="401"/>
      <c r="G1099" s="401"/>
      <c r="H1099" s="401"/>
      <c r="I1099" s="402"/>
      <c r="J1099" s="232">
        <v>12</v>
      </c>
      <c r="K1099" s="185">
        <v>133</v>
      </c>
      <c r="L1099" s="233">
        <v>18</v>
      </c>
      <c r="M1099" s="57">
        <v>3</v>
      </c>
      <c r="N1099" s="278">
        <v>12</v>
      </c>
      <c r="O1099" s="279">
        <v>133</v>
      </c>
      <c r="P1099" s="280">
        <v>18</v>
      </c>
      <c r="Q1099" s="281">
        <v>3</v>
      </c>
      <c r="R1099" s="280">
        <v>11</v>
      </c>
      <c r="S1099" s="282"/>
      <c r="W1099" s="382"/>
      <c r="X1099" s="206"/>
      <c r="Y1099" s="188" t="e">
        <f>ROUND(Y1098/(Y$1042+Y$1044+Y$1046+Y$1048+Y$1050+Y$1052+Y$1054+Y$1056),3)</f>
        <v>#DIV/0!</v>
      </c>
      <c r="Z1099" s="189"/>
      <c r="AA1099" s="188" t="e">
        <f>ROUND(AA1098/(AA$1042+AA$1044+AA$1046+AA$1048+AA$1050+AA$1052+AA$1054+AA$1056),3)</f>
        <v>#DIV/0!</v>
      </c>
      <c r="AB1099" s="159"/>
      <c r="AC1099" s="188" t="e">
        <f>ROUND(AC1098/(AC$1042+AC$1044+AC$1046+AC$1048+AC$1050+AC$1052+AC$1054+AC$1056),3)</f>
        <v>#DIV/0!</v>
      </c>
      <c r="AD1099" s="191"/>
      <c r="AE1099" s="192" t="e">
        <f>ROUND(AE1098/(AE$1042+AE$1044+AE$1046+AE$1048+AE$1050+AE$1052+AE$1054+AE$1056),3)</f>
        <v>#DIV/0!</v>
      </c>
      <c r="AF1099" s="206"/>
      <c r="AG1099" s="188"/>
      <c r="AH1099" s="189"/>
      <c r="AI1099" s="188"/>
      <c r="AJ1099" s="159"/>
      <c r="AK1099" s="188"/>
      <c r="AL1099" s="191"/>
      <c r="AM1099" s="188"/>
      <c r="AN1099" s="229"/>
      <c r="AO1099" s="188"/>
    </row>
    <row r="1100" spans="3:41" ht="13.5" customHeight="1" x14ac:dyDescent="0.15">
      <c r="C1100" s="427"/>
      <c r="D1100" s="428"/>
      <c r="E1100" s="403"/>
      <c r="F1100" s="403"/>
      <c r="G1100" s="403"/>
      <c r="H1100" s="403"/>
      <c r="I1100" s="404"/>
      <c r="J1100" s="234"/>
      <c r="K1100" s="188">
        <f>ROUND(K1099/K$1121,3)</f>
        <v>1.008</v>
      </c>
      <c r="L1100" s="217"/>
      <c r="M1100" s="188">
        <f>ROUND(M1099/M$1121,3)</f>
        <v>4.4999999999999998E-2</v>
      </c>
      <c r="N1100" s="283"/>
      <c r="O1100" s="284">
        <f>ROUND(O1099/O$1121,3)</f>
        <v>2.0150000000000001</v>
      </c>
      <c r="P1100" s="285"/>
      <c r="Q1100" s="284">
        <f>ROUND(Q1099/Q$1121,3)</f>
        <v>4.4999999999999998E-2</v>
      </c>
      <c r="R1100" s="285"/>
      <c r="S1100" s="286"/>
      <c r="W1100" s="381" t="s">
        <v>356</v>
      </c>
      <c r="X1100" s="201"/>
      <c r="Y1100" s="179">
        <f>AA1100+AC1100+AE1100</f>
        <v>0</v>
      </c>
      <c r="Z1100" s="202"/>
      <c r="AA1100" s="57">
        <v>0</v>
      </c>
      <c r="AB1100" s="236"/>
      <c r="AC1100" s="182">
        <v>0</v>
      </c>
      <c r="AD1100" s="183"/>
      <c r="AE1100" s="184">
        <v>0</v>
      </c>
      <c r="AF1100" s="201"/>
      <c r="AG1100" s="179"/>
      <c r="AH1100" s="202"/>
      <c r="AI1100" s="57"/>
      <c r="AJ1100" s="236"/>
      <c r="AK1100" s="182"/>
      <c r="AL1100" s="183"/>
      <c r="AM1100" s="179"/>
      <c r="AN1100" s="222"/>
      <c r="AO1100" s="179"/>
    </row>
    <row r="1101" spans="3:41" ht="13.5" customHeight="1" x14ac:dyDescent="0.15">
      <c r="C1101" s="427">
        <v>20</v>
      </c>
      <c r="D1101" s="428"/>
      <c r="E1101" s="401" t="s">
        <v>357</v>
      </c>
      <c r="F1101" s="401"/>
      <c r="G1101" s="401"/>
      <c r="H1101" s="401"/>
      <c r="I1101" s="402"/>
      <c r="J1101" s="232">
        <v>13</v>
      </c>
      <c r="K1101" s="185">
        <v>111</v>
      </c>
      <c r="L1101" s="233">
        <v>11</v>
      </c>
      <c r="M1101" s="57">
        <v>12</v>
      </c>
      <c r="N1101" s="278">
        <v>13</v>
      </c>
      <c r="O1101" s="279">
        <v>111</v>
      </c>
      <c r="P1101" s="280">
        <v>11</v>
      </c>
      <c r="Q1101" s="281">
        <v>12</v>
      </c>
      <c r="R1101" s="280">
        <v>13</v>
      </c>
      <c r="S1101" s="282"/>
      <c r="W1101" s="382"/>
      <c r="X1101" s="206"/>
      <c r="Y1101" s="188" t="e">
        <f>ROUND(Y1100/(Y$1042+Y$1044+Y$1046+Y$1048+Y$1050+Y$1052+Y$1054+Y$1056),3)</f>
        <v>#DIV/0!</v>
      </c>
      <c r="Z1101" s="189"/>
      <c r="AA1101" s="188" t="e">
        <f>ROUND(AA1100/(AA$1042+AA$1044+AA$1046+AA$1048+AA$1050+AA$1052+AA$1054+AA$1056),3)</f>
        <v>#DIV/0!</v>
      </c>
      <c r="AB1101" s="159"/>
      <c r="AC1101" s="188" t="e">
        <f>ROUND(AC1100/(AC$1042+AC$1044+AC$1046+AC$1048+AC$1050+AC$1052+AC$1054+AC$1056),3)</f>
        <v>#DIV/0!</v>
      </c>
      <c r="AD1101" s="191"/>
      <c r="AE1101" s="192" t="e">
        <f>ROUND(AE1100/(AE$1042+AE$1044+AE$1046+AE$1048+AE$1050+AE$1052+AE$1054+AE$1056),3)</f>
        <v>#DIV/0!</v>
      </c>
      <c r="AF1101" s="206"/>
      <c r="AG1101" s="188"/>
      <c r="AH1101" s="189"/>
      <c r="AI1101" s="188"/>
      <c r="AJ1101" s="159"/>
      <c r="AK1101" s="188"/>
      <c r="AL1101" s="191"/>
      <c r="AM1101" s="188"/>
      <c r="AN1101" s="229"/>
      <c r="AO1101" s="188"/>
    </row>
    <row r="1102" spans="3:41" x14ac:dyDescent="0.15">
      <c r="C1102" s="427"/>
      <c r="D1102" s="428"/>
      <c r="E1102" s="403"/>
      <c r="F1102" s="403"/>
      <c r="G1102" s="403"/>
      <c r="H1102" s="403"/>
      <c r="I1102" s="404"/>
      <c r="J1102" s="234"/>
      <c r="K1102" s="188">
        <f>ROUND(K1101/K$1121,3)</f>
        <v>0.84099999999999997</v>
      </c>
      <c r="L1102" s="217"/>
      <c r="M1102" s="188">
        <f>ROUND(M1101/M$1121,3)</f>
        <v>0.182</v>
      </c>
      <c r="N1102" s="283"/>
      <c r="O1102" s="284">
        <f>ROUND(O1101/O$1121,3)</f>
        <v>1.6819999999999999</v>
      </c>
      <c r="P1102" s="285"/>
      <c r="Q1102" s="284">
        <f>ROUND(Q1101/Q$1121,3)</f>
        <v>0.182</v>
      </c>
      <c r="R1102" s="285"/>
      <c r="S1102" s="286"/>
      <c r="W1102" s="381" t="s">
        <v>318</v>
      </c>
      <c r="X1102" s="238"/>
      <c r="Y1102" s="179">
        <f>AA1102+AC1102+AE1102</f>
        <v>0</v>
      </c>
      <c r="Z1102" s="202"/>
      <c r="AA1102" s="57">
        <v>0</v>
      </c>
      <c r="AB1102" s="236"/>
      <c r="AC1102" s="182">
        <v>0</v>
      </c>
      <c r="AD1102" s="183"/>
      <c r="AE1102" s="184">
        <v>0</v>
      </c>
      <c r="AF1102" s="238"/>
      <c r="AG1102" s="179"/>
      <c r="AH1102" s="202"/>
      <c r="AI1102" s="57"/>
      <c r="AJ1102" s="236"/>
      <c r="AK1102" s="182"/>
      <c r="AL1102" s="183"/>
      <c r="AM1102" s="179"/>
      <c r="AN1102" s="222"/>
      <c r="AO1102" s="392"/>
    </row>
    <row r="1103" spans="3:41" ht="13.5" customHeight="1" x14ac:dyDescent="0.15">
      <c r="C1103" s="425">
        <v>2</v>
      </c>
      <c r="D1103" s="426"/>
      <c r="E1103" s="401" t="s">
        <v>358</v>
      </c>
      <c r="F1103" s="401"/>
      <c r="G1103" s="401"/>
      <c r="H1103" s="401"/>
      <c r="I1103" s="402"/>
      <c r="J1103" s="232">
        <v>14</v>
      </c>
      <c r="K1103" s="185">
        <v>66</v>
      </c>
      <c r="L1103" s="233">
        <v>14</v>
      </c>
      <c r="M1103" s="57">
        <v>6</v>
      </c>
      <c r="N1103" s="232">
        <v>14</v>
      </c>
      <c r="O1103" s="185">
        <v>66</v>
      </c>
      <c r="P1103" s="280">
        <v>14</v>
      </c>
      <c r="Q1103" s="281">
        <v>6</v>
      </c>
      <c r="R1103" s="280">
        <v>16</v>
      </c>
      <c r="S1103" s="282"/>
      <c r="W1103" s="382"/>
      <c r="X1103" s="238"/>
      <c r="Y1103" s="188" t="e">
        <f>ROUND(Y1102/(Y$1042+Y$1044+Y$1046+Y$1048+Y$1050+Y$1052+Y$1054+Y$1056),3)</f>
        <v>#DIV/0!</v>
      </c>
      <c r="Z1103" s="189"/>
      <c r="AA1103" s="188" t="e">
        <f>ROUND(AA1102/(AA$1042+AA$1044+AA$1046+AA$1048+AA$1050+AA$1052+AA$1054+AA$1056),3)</f>
        <v>#DIV/0!</v>
      </c>
      <c r="AB1103" s="159"/>
      <c r="AC1103" s="188" t="e">
        <f>ROUND(AC1102/(AC$1042+AC$1044+AC$1046+AC$1048+AC$1050+AC$1052+AC$1054+AC$1056),3)</f>
        <v>#DIV/0!</v>
      </c>
      <c r="AD1103" s="191"/>
      <c r="AE1103" s="192" t="e">
        <f>ROUND(AE1102/(AE$1042+AE$1044+AE$1046+AE$1048+AE$1050+AE$1052+AE$1054+AE$1056),3)</f>
        <v>#DIV/0!</v>
      </c>
      <c r="AF1103" s="238"/>
      <c r="AG1103" s="188"/>
      <c r="AH1103" s="189"/>
      <c r="AI1103" s="188"/>
      <c r="AJ1103" s="159"/>
      <c r="AK1103" s="188"/>
      <c r="AL1103" s="191"/>
      <c r="AM1103" s="188"/>
      <c r="AN1103" s="229"/>
      <c r="AO1103" s="393"/>
    </row>
    <row r="1104" spans="3:41" x14ac:dyDescent="0.15">
      <c r="C1104" s="425"/>
      <c r="D1104" s="426"/>
      <c r="E1104" s="403"/>
      <c r="F1104" s="403"/>
      <c r="G1104" s="403"/>
      <c r="H1104" s="403"/>
      <c r="I1104" s="404"/>
      <c r="J1104" s="234"/>
      <c r="K1104" s="188">
        <f>ROUND(K1103/K$1121,3)</f>
        <v>0.5</v>
      </c>
      <c r="L1104" s="217"/>
      <c r="M1104" s="188">
        <f>ROUND(M1103/M$1121,3)</f>
        <v>9.0999999999999998E-2</v>
      </c>
      <c r="N1104" s="234"/>
      <c r="O1104" s="188">
        <f>ROUND(O1103/O$1121,3)</f>
        <v>1</v>
      </c>
      <c r="P1104" s="285"/>
      <c r="Q1104" s="284">
        <f>ROUND(Q1103/Q$1121,3)</f>
        <v>9.0999999999999998E-2</v>
      </c>
      <c r="R1104" s="285"/>
      <c r="S1104" s="286"/>
      <c r="W1104" s="383" t="s">
        <v>301</v>
      </c>
      <c r="X1104" s="201"/>
      <c r="Y1104" s="179">
        <f>AA1104+AC1104+AE1104</f>
        <v>0</v>
      </c>
      <c r="Z1104" s="202"/>
      <c r="AA1104" s="57">
        <v>0</v>
      </c>
      <c r="AB1104" s="236"/>
      <c r="AC1104" s="182">
        <v>0</v>
      </c>
      <c r="AD1104" s="183"/>
      <c r="AE1104" s="184">
        <v>0</v>
      </c>
      <c r="AF1104" s="201"/>
      <c r="AG1104" s="179"/>
      <c r="AH1104" s="202"/>
      <c r="AI1104" s="57"/>
      <c r="AJ1104" s="236"/>
      <c r="AK1104" s="182"/>
      <c r="AL1104" s="183"/>
      <c r="AM1104" s="179"/>
      <c r="AN1104" s="222"/>
      <c r="AO1104" s="392"/>
    </row>
    <row r="1105" spans="3:44" ht="13.5" customHeight="1" x14ac:dyDescent="0.15">
      <c r="C1105" s="425">
        <v>13</v>
      </c>
      <c r="D1105" s="426"/>
      <c r="E1105" s="401" t="s">
        <v>359</v>
      </c>
      <c r="F1105" s="401"/>
      <c r="G1105" s="401"/>
      <c r="H1105" s="401"/>
      <c r="I1105" s="402"/>
      <c r="J1105" s="232">
        <v>15</v>
      </c>
      <c r="K1105" s="185">
        <v>59</v>
      </c>
      <c r="L1105" s="233">
        <v>19</v>
      </c>
      <c r="M1105" s="57">
        <v>2</v>
      </c>
      <c r="N1105" s="232">
        <v>15</v>
      </c>
      <c r="O1105" s="185">
        <v>59</v>
      </c>
      <c r="P1105" s="233">
        <v>19</v>
      </c>
      <c r="Q1105" s="57">
        <v>2</v>
      </c>
      <c r="R1105" s="233">
        <v>14</v>
      </c>
      <c r="S1105" s="272"/>
      <c r="W1105" s="383"/>
      <c r="X1105" s="206"/>
      <c r="Y1105" s="188" t="e">
        <f>ROUND(Y1104/(Y$1042+Y$1044+Y$1046+Y$1048+Y$1050+Y$1052+Y$1054+Y$1056),3)</f>
        <v>#DIV/0!</v>
      </c>
      <c r="Z1105" s="189"/>
      <c r="AA1105" s="188" t="e">
        <f>ROUND(AA1104/(AA$1042+AA$1044+AA$1046+AA$1048+AA$1050+AA$1052+AA$1054+AA$1056),3)</f>
        <v>#DIV/0!</v>
      </c>
      <c r="AB1105" s="159"/>
      <c r="AC1105" s="188" t="e">
        <f>ROUND(AC1104/(AC$1042+AC$1044+AC$1046+AC$1048+AC$1050+AC$1052+AC$1054+AC$1056),3)</f>
        <v>#DIV/0!</v>
      </c>
      <c r="AD1105" s="191"/>
      <c r="AE1105" s="192" t="e">
        <f>ROUND(AE1104/(AE$1042+AE$1044+AE$1046+AE$1048+AE$1050+AE$1052+AE$1054+AE$1056),3)</f>
        <v>#DIV/0!</v>
      </c>
      <c r="AF1105" s="206"/>
      <c r="AG1105" s="188"/>
      <c r="AH1105" s="189"/>
      <c r="AI1105" s="188"/>
      <c r="AJ1105" s="159"/>
      <c r="AK1105" s="188"/>
      <c r="AL1105" s="191"/>
      <c r="AM1105" s="188"/>
      <c r="AN1105" s="229"/>
      <c r="AO1105" s="393"/>
    </row>
    <row r="1106" spans="3:44" x14ac:dyDescent="0.15">
      <c r="C1106" s="425"/>
      <c r="D1106" s="426"/>
      <c r="E1106" s="403"/>
      <c r="F1106" s="403"/>
      <c r="G1106" s="403"/>
      <c r="H1106" s="403"/>
      <c r="I1106" s="404"/>
      <c r="J1106" s="234"/>
      <c r="K1106" s="188">
        <f>ROUND(K1105/K$1121,3)</f>
        <v>0.44700000000000001</v>
      </c>
      <c r="L1106" s="217"/>
      <c r="M1106" s="188">
        <f>ROUND(M1105/M$1121,3)</f>
        <v>0.03</v>
      </c>
      <c r="N1106" s="234"/>
      <c r="O1106" s="188">
        <f>ROUND(O1105/O$1121,3)</f>
        <v>0.89400000000000002</v>
      </c>
      <c r="P1106" s="217"/>
      <c r="Q1106" s="188">
        <f>ROUND(Q1105/Q$1121,3)</f>
        <v>0.03</v>
      </c>
      <c r="R1106" s="217"/>
      <c r="S1106" s="208"/>
      <c r="W1106" s="426" t="s">
        <v>53</v>
      </c>
      <c r="X1106" s="119"/>
      <c r="Y1106" s="182">
        <f>Y1088+Y1090+Y1092+Y1094+Y1104+Y1098+Y1096+Y1102</f>
        <v>0</v>
      </c>
      <c r="Z1106" s="183"/>
      <c r="AA1106" s="179">
        <f>AA1088+AA1090+AA1092+AA1094+AA1104+AA1098+AA1096+AA1102</f>
        <v>0</v>
      </c>
      <c r="AB1106" s="63"/>
      <c r="AC1106" s="182">
        <f>AC1088+AC1090+AC1092+AC1094+AC1104+AC1098+AC1096+AC1102</f>
        <v>0</v>
      </c>
      <c r="AD1106" s="183"/>
      <c r="AE1106" s="184">
        <f>AE1088+AE1090+AE1092+AE1094+AE1104+AE1098+AE1096+AE1102</f>
        <v>0</v>
      </c>
      <c r="AF1106" s="119"/>
      <c r="AG1106" s="182"/>
      <c r="AH1106" s="183"/>
      <c r="AI1106" s="179"/>
      <c r="AJ1106" s="63"/>
      <c r="AK1106" s="182"/>
      <c r="AL1106" s="183"/>
      <c r="AM1106" s="179"/>
      <c r="AN1106" s="222"/>
      <c r="AO1106" s="179"/>
    </row>
    <row r="1107" spans="3:44" ht="14.25" customHeight="1" thickBot="1" x14ac:dyDescent="0.2">
      <c r="C1107" s="425">
        <v>15</v>
      </c>
      <c r="D1107" s="397"/>
      <c r="E1107" s="401" t="s">
        <v>360</v>
      </c>
      <c r="F1107" s="401"/>
      <c r="G1107" s="401"/>
      <c r="H1107" s="401"/>
      <c r="I1107" s="402"/>
      <c r="J1107" s="232">
        <v>16</v>
      </c>
      <c r="K1107" s="185">
        <v>58</v>
      </c>
      <c r="L1107" s="233">
        <v>19</v>
      </c>
      <c r="M1107" s="57">
        <v>2</v>
      </c>
      <c r="N1107" s="287">
        <v>16</v>
      </c>
      <c r="O1107" s="288">
        <v>58</v>
      </c>
      <c r="P1107" s="289">
        <v>19</v>
      </c>
      <c r="Q1107" s="290">
        <v>2</v>
      </c>
      <c r="R1107" s="289">
        <v>14</v>
      </c>
      <c r="S1107" s="291"/>
      <c r="W1107" s="426"/>
      <c r="X1107" s="209"/>
      <c r="Y1107" s="210" t="e">
        <f>Y1089+Y1091+Y1093+Y1095+Y1105+Y1099+Y1097+Y1103</f>
        <v>#DIV/0!</v>
      </c>
      <c r="Z1107" s="211"/>
      <c r="AA1107" s="273" t="e">
        <f>AA1089+AA1091+AA1093+AA1095+AA1105+AA1099+AA1097+AA1103</f>
        <v>#DIV/0!</v>
      </c>
      <c r="AB1107" s="213"/>
      <c r="AC1107" s="210" t="e">
        <f>AC1089+AC1091+AC1093+AC1095+AC1105+AC1099+AC1097+AC1103</f>
        <v>#DIV/0!</v>
      </c>
      <c r="AD1107" s="211"/>
      <c r="AE1107" s="214" t="e">
        <f>AE1089+AE1091+AE1093+AE1095+AE1105+AE1099+AE1097+AE1103</f>
        <v>#DIV/0!</v>
      </c>
      <c r="AF1107" s="274"/>
      <c r="AG1107" s="275"/>
      <c r="AH1107" s="217"/>
      <c r="AI1107" s="276"/>
      <c r="AJ1107" s="219"/>
      <c r="AK1107" s="275"/>
      <c r="AL1107" s="217"/>
      <c r="AM1107" s="276"/>
      <c r="AN1107" s="277"/>
      <c r="AO1107" s="276"/>
    </row>
    <row r="1108" spans="3:44" x14ac:dyDescent="0.15">
      <c r="C1108" s="425"/>
      <c r="D1108" s="397"/>
      <c r="E1108" s="403"/>
      <c r="F1108" s="403"/>
      <c r="G1108" s="403"/>
      <c r="H1108" s="403"/>
      <c r="I1108" s="404"/>
      <c r="J1108" s="234"/>
      <c r="K1108" s="188">
        <f>ROUND(K1107/K$1121,3)</f>
        <v>0.439</v>
      </c>
      <c r="L1108" s="217"/>
      <c r="M1108" s="188">
        <f>ROUND(M1107/M$1121,3)</f>
        <v>0.03</v>
      </c>
      <c r="N1108" s="292"/>
      <c r="O1108" s="293">
        <f>ROUND(O1107/O$1121,3)</f>
        <v>0.879</v>
      </c>
      <c r="P1108" s="294"/>
      <c r="Q1108" s="293">
        <f>ROUND(Q1107/Q$1121,3)</f>
        <v>0.03</v>
      </c>
      <c r="R1108" s="294"/>
      <c r="S1108" s="295"/>
    </row>
    <row r="1109" spans="3:44" ht="13.5" customHeight="1" x14ac:dyDescent="0.15">
      <c r="C1109" s="425">
        <v>19</v>
      </c>
      <c r="D1109" s="397"/>
      <c r="E1109" s="401" t="s">
        <v>361</v>
      </c>
      <c r="F1109" s="401"/>
      <c r="G1109" s="401"/>
      <c r="H1109" s="401"/>
      <c r="I1109" s="402"/>
      <c r="J1109" s="232">
        <v>17</v>
      </c>
      <c r="K1109" s="185">
        <v>54</v>
      </c>
      <c r="L1109" s="233">
        <v>13</v>
      </c>
      <c r="M1109" s="57">
        <v>7</v>
      </c>
      <c r="N1109" s="287">
        <v>17</v>
      </c>
      <c r="O1109" s="288">
        <v>54</v>
      </c>
      <c r="P1109" s="289">
        <v>13</v>
      </c>
      <c r="Q1109" s="290">
        <v>7</v>
      </c>
      <c r="R1109" s="289">
        <v>18</v>
      </c>
      <c r="S1109" s="291"/>
    </row>
    <row r="1110" spans="3:44" ht="14.25" thickBot="1" x14ac:dyDescent="0.2">
      <c r="C1110" s="425"/>
      <c r="D1110" s="397"/>
      <c r="E1110" s="403"/>
      <c r="F1110" s="403"/>
      <c r="G1110" s="403"/>
      <c r="H1110" s="403"/>
      <c r="I1110" s="404"/>
      <c r="J1110" s="234"/>
      <c r="K1110" s="188">
        <f>ROUND(K1109/K$1121,3)</f>
        <v>0.40899999999999997</v>
      </c>
      <c r="L1110" s="217"/>
      <c r="M1110" s="188">
        <f>ROUND(M1109/M$1121,3)</f>
        <v>0.106</v>
      </c>
      <c r="N1110" s="292"/>
      <c r="O1110" s="293">
        <f>ROUND(O1109/O$1121,3)</f>
        <v>0.81799999999999995</v>
      </c>
      <c r="P1110" s="294"/>
      <c r="Q1110" s="293">
        <f>ROUND(Q1109/Q$1121,3)</f>
        <v>0.106</v>
      </c>
      <c r="R1110" s="294"/>
      <c r="S1110" s="295"/>
      <c r="W1110" s="174" t="s">
        <v>362</v>
      </c>
      <c r="X1110" s="2"/>
      <c r="Y1110" s="2"/>
      <c r="Z1110" s="2"/>
      <c r="AA1110" s="2"/>
      <c r="AB1110" s="2"/>
      <c r="AC1110" s="11"/>
      <c r="AD1110" s="2"/>
      <c r="AE1110" s="2"/>
      <c r="AF1110" s="2"/>
      <c r="AG1110" s="2"/>
      <c r="AH1110" s="2"/>
      <c r="AI1110" s="2"/>
      <c r="AJ1110" s="2"/>
      <c r="AK1110" s="2"/>
      <c r="AL1110" s="2"/>
      <c r="AM1110" s="2"/>
    </row>
    <row r="1111" spans="3:44" ht="13.5" customHeight="1" x14ac:dyDescent="0.15">
      <c r="C1111" s="425">
        <v>21</v>
      </c>
      <c r="D1111" s="397"/>
      <c r="E1111" s="401" t="s">
        <v>363</v>
      </c>
      <c r="F1111" s="401"/>
      <c r="G1111" s="401"/>
      <c r="H1111" s="401"/>
      <c r="I1111" s="402"/>
      <c r="J1111" s="232">
        <v>18</v>
      </c>
      <c r="K1111" s="185">
        <v>44</v>
      </c>
      <c r="L1111" s="233">
        <v>17</v>
      </c>
      <c r="M1111" s="57">
        <v>4</v>
      </c>
      <c r="N1111" s="287">
        <v>18</v>
      </c>
      <c r="O1111" s="288">
        <v>44</v>
      </c>
      <c r="P1111" s="289">
        <v>17</v>
      </c>
      <c r="Q1111" s="290">
        <v>4</v>
      </c>
      <c r="R1111" s="289">
        <v>17</v>
      </c>
      <c r="S1111" s="291"/>
      <c r="W1111" s="2"/>
      <c r="X1111" s="175"/>
      <c r="Y1111" s="384" t="s">
        <v>273</v>
      </c>
      <c r="Z1111" s="384"/>
      <c r="AA1111" s="384"/>
      <c r="AB1111" s="384"/>
      <c r="AC1111" s="384"/>
      <c r="AD1111" s="384"/>
      <c r="AE1111" s="385"/>
      <c r="AF1111" s="144"/>
      <c r="AG1111" s="386" t="s">
        <v>274</v>
      </c>
      <c r="AH1111" s="386"/>
      <c r="AI1111" s="386"/>
      <c r="AJ1111" s="386"/>
      <c r="AK1111" s="386"/>
      <c r="AL1111" s="386"/>
      <c r="AM1111" s="387"/>
      <c r="AN1111" s="378" t="s">
        <v>303</v>
      </c>
      <c r="AO1111" s="379"/>
    </row>
    <row r="1112" spans="3:44" x14ac:dyDescent="0.15">
      <c r="C1112" s="425"/>
      <c r="D1112" s="397"/>
      <c r="E1112" s="403"/>
      <c r="F1112" s="403"/>
      <c r="G1112" s="403"/>
      <c r="H1112" s="403"/>
      <c r="I1112" s="404"/>
      <c r="J1112" s="234"/>
      <c r="K1112" s="188">
        <f>ROUND(K1111/K$1121,3)</f>
        <v>0.33300000000000002</v>
      </c>
      <c r="L1112" s="217"/>
      <c r="M1112" s="188">
        <f>ROUND(M1111/M$1121,3)</f>
        <v>6.0999999999999999E-2</v>
      </c>
      <c r="N1112" s="292"/>
      <c r="O1112" s="293">
        <f>ROUND(O1111/O$1121,3)</f>
        <v>0.66700000000000004</v>
      </c>
      <c r="P1112" s="294"/>
      <c r="Q1112" s="293">
        <f>ROUND(Q1111/Q$1121,3)</f>
        <v>6.0999999999999999E-2</v>
      </c>
      <c r="R1112" s="294"/>
      <c r="S1112" s="295"/>
      <c r="W1112" s="2"/>
      <c r="X1112" s="110"/>
      <c r="Y1112" s="19"/>
      <c r="Z1112" s="394" t="s">
        <v>29</v>
      </c>
      <c r="AA1112" s="394"/>
      <c r="AB1112" s="395" t="s">
        <v>30</v>
      </c>
      <c r="AC1112" s="396"/>
      <c r="AD1112" s="376" t="s">
        <v>31</v>
      </c>
      <c r="AE1112" s="409"/>
      <c r="AF1112" s="94"/>
      <c r="AG1112" s="19"/>
      <c r="AH1112" s="394" t="s">
        <v>29</v>
      </c>
      <c r="AI1112" s="394"/>
      <c r="AJ1112" s="395" t="s">
        <v>30</v>
      </c>
      <c r="AK1112" s="396"/>
      <c r="AL1112" s="376" t="s">
        <v>31</v>
      </c>
      <c r="AM1112" s="377"/>
      <c r="AN1112" s="378" t="s">
        <v>289</v>
      </c>
      <c r="AO1112" s="379"/>
    </row>
    <row r="1113" spans="3:44" ht="13.5" customHeight="1" x14ac:dyDescent="0.15">
      <c r="C1113" s="425">
        <v>10</v>
      </c>
      <c r="D1113" s="397"/>
      <c r="E1113" s="401" t="s">
        <v>364</v>
      </c>
      <c r="F1113" s="401"/>
      <c r="G1113" s="401"/>
      <c r="H1113" s="401"/>
      <c r="I1113" s="402"/>
      <c r="J1113" s="232">
        <v>19</v>
      </c>
      <c r="K1113" s="185">
        <v>38</v>
      </c>
      <c r="L1113" s="233">
        <v>6</v>
      </c>
      <c r="M1113" s="57">
        <v>5</v>
      </c>
      <c r="N1113" s="287">
        <v>19</v>
      </c>
      <c r="O1113" s="288">
        <v>38</v>
      </c>
      <c r="P1113" s="289">
        <v>6</v>
      </c>
      <c r="Q1113" s="290">
        <v>5</v>
      </c>
      <c r="R1113" s="289">
        <v>20</v>
      </c>
      <c r="S1113" s="291"/>
      <c r="W1113" s="380" t="s">
        <v>365</v>
      </c>
      <c r="X1113" s="145"/>
      <c r="Y1113" s="179">
        <f>AA1113+AC1113+AE1113</f>
        <v>0</v>
      </c>
      <c r="Z1113" s="180"/>
      <c r="AA1113" s="57">
        <v>0</v>
      </c>
      <c r="AB1113" s="181"/>
      <c r="AC1113" s="182">
        <v>0</v>
      </c>
      <c r="AD1113" s="183"/>
      <c r="AE1113" s="184">
        <v>0</v>
      </c>
      <c r="AF1113" s="144">
        <v>1</v>
      </c>
      <c r="AG1113" s="179">
        <f>AI1113+AK1113+AM1113</f>
        <v>232</v>
      </c>
      <c r="AH1113" s="180">
        <v>2</v>
      </c>
      <c r="AI1113" s="57">
        <v>17</v>
      </c>
      <c r="AJ1113" s="181">
        <v>1</v>
      </c>
      <c r="AK1113" s="179">
        <v>83</v>
      </c>
      <c r="AL1113" s="186">
        <v>1</v>
      </c>
      <c r="AM1113" s="57">
        <v>132</v>
      </c>
      <c r="AN1113" s="222">
        <v>1</v>
      </c>
      <c r="AO1113" s="296">
        <v>150</v>
      </c>
    </row>
    <row r="1114" spans="3:44" x14ac:dyDescent="0.15">
      <c r="C1114" s="425"/>
      <c r="D1114" s="397"/>
      <c r="E1114" s="403"/>
      <c r="F1114" s="403"/>
      <c r="G1114" s="403"/>
      <c r="H1114" s="403"/>
      <c r="I1114" s="404"/>
      <c r="J1114" s="234"/>
      <c r="K1114" s="188">
        <f>ROUND(K1113/K$1121,3)</f>
        <v>0.28799999999999998</v>
      </c>
      <c r="L1114" s="217"/>
      <c r="M1114" s="188">
        <f>ROUND(M1113/M$1121,3)</f>
        <v>7.5999999999999998E-2</v>
      </c>
      <c r="N1114" s="292"/>
      <c r="O1114" s="293">
        <f>ROUND(O1113/O$1121,3)</f>
        <v>0.57599999999999996</v>
      </c>
      <c r="P1114" s="294"/>
      <c r="Q1114" s="293">
        <f>ROUND(Q1113/Q$1121,3)</f>
        <v>7.5999999999999998E-2</v>
      </c>
      <c r="R1114" s="294"/>
      <c r="S1114" s="295"/>
      <c r="W1114" s="380"/>
      <c r="X1114" s="110"/>
      <c r="Y1114" s="188" t="e">
        <f>ROUND(Y1113/(Y$1113+Y$1115+Y$1117+Y$1119+Y$1121+Y$1125+Y$1127+Y$1129+Y$1131+Y$1133+Y$1135),3)</f>
        <v>#DIV/0!</v>
      </c>
      <c r="Z1114" s="189"/>
      <c r="AA1114" s="188" t="e">
        <f>ROUND(AA1113/(AA$1113+AA$1115+AA$1117+AA$1119+AA$1121+AA$1125+AA$1127+AA$1129+AA$1131+AA$1133+AA$1135),3)</f>
        <v>#DIV/0!</v>
      </c>
      <c r="AB1114" s="190"/>
      <c r="AC1114" s="188" t="e">
        <f>ROUND(AC1113/(AC$1113+AC$1115+AC$1117+AC$1119+AC$1121+AC$1125+AC$1127+AC$1129+AC$1131+AC$1133+AC$1135),3)</f>
        <v>#DIV/0!</v>
      </c>
      <c r="AD1114" s="191"/>
      <c r="AE1114" s="192" t="e">
        <f>ROUND(AE1113/(AE$1113+AE$1115+AE$1117+AE$1119+AE$1121+AE$1125+AE$1127+AE$1129+AE$1131+AE$1133+AE$1135),3)</f>
        <v>#DIV/0!</v>
      </c>
      <c r="AF1114" s="94"/>
      <c r="AG1114" s="188">
        <f>ROUND(AG1113/(AG$1021+AG$1023+AG$1025+AG$1027+AG$1031+AG$1033),3)</f>
        <v>0.30599999999999999</v>
      </c>
      <c r="AH1114" s="189"/>
      <c r="AI1114" s="188">
        <f>ROUND(AI1113/(AI$1021+AI$1023+AI$1025+AI$1027+AI$1031+AI$1033),3)</f>
        <v>0.25800000000000001</v>
      </c>
      <c r="AJ1114" s="190"/>
      <c r="AK1114" s="188">
        <f>ROUND(AK1113/(AK$1021+AK$1023+AK$1025+AK$1027+AK$1031+AK$1033),3)</f>
        <v>0.316</v>
      </c>
      <c r="AL1114" s="191"/>
      <c r="AM1114" s="188">
        <f>ROUND(AM1113/(AM$1021+AM$1023+AM$1025+AM$1027+AM$1031+AM$1033),3)</f>
        <v>0.308</v>
      </c>
      <c r="AN1114" s="223"/>
      <c r="AO1114" s="188">
        <v>0.34699999999999998</v>
      </c>
    </row>
    <row r="1115" spans="3:44" x14ac:dyDescent="0.15">
      <c r="C1115" s="425">
        <v>22</v>
      </c>
      <c r="D1115" s="397"/>
      <c r="E1115" s="401" t="s">
        <v>366</v>
      </c>
      <c r="F1115" s="401"/>
      <c r="G1115" s="401"/>
      <c r="H1115" s="401"/>
      <c r="I1115" s="402"/>
      <c r="J1115" s="232">
        <v>19</v>
      </c>
      <c r="K1115" s="185">
        <v>38</v>
      </c>
      <c r="L1115" s="248" t="s">
        <v>329</v>
      </c>
      <c r="M1115" s="57"/>
      <c r="N1115" s="287">
        <v>19</v>
      </c>
      <c r="O1115" s="288">
        <v>38</v>
      </c>
      <c r="P1115" s="297" t="s">
        <v>329</v>
      </c>
      <c r="Q1115" s="290"/>
      <c r="R1115" s="289">
        <v>18</v>
      </c>
      <c r="S1115" s="291"/>
      <c r="W1115" s="380" t="s">
        <v>367</v>
      </c>
      <c r="X1115" s="145"/>
      <c r="Y1115" s="179">
        <f>AA1115+AC1115+AE1115</f>
        <v>0</v>
      </c>
      <c r="Z1115" s="180"/>
      <c r="AA1115" s="57">
        <v>0</v>
      </c>
      <c r="AB1115" s="181"/>
      <c r="AC1115" s="182">
        <v>0</v>
      </c>
      <c r="AD1115" s="183"/>
      <c r="AE1115" s="184">
        <v>0</v>
      </c>
      <c r="AF1115" s="144">
        <v>2</v>
      </c>
      <c r="AG1115" s="179">
        <f>AI1115+AK1115+AM1115</f>
        <v>152</v>
      </c>
      <c r="AH1115" s="180">
        <v>5</v>
      </c>
      <c r="AI1115" s="57">
        <v>11</v>
      </c>
      <c r="AJ1115" s="181">
        <v>3</v>
      </c>
      <c r="AK1115" s="179">
        <v>51</v>
      </c>
      <c r="AL1115" s="186">
        <v>2</v>
      </c>
      <c r="AM1115" s="57">
        <v>90</v>
      </c>
      <c r="AN1115" s="222">
        <v>4</v>
      </c>
      <c r="AO1115" s="179">
        <v>66</v>
      </c>
    </row>
    <row r="1116" spans="3:44" x14ac:dyDescent="0.15">
      <c r="C1116" s="425"/>
      <c r="D1116" s="397"/>
      <c r="E1116" s="403"/>
      <c r="F1116" s="403"/>
      <c r="G1116" s="403"/>
      <c r="H1116" s="403"/>
      <c r="I1116" s="404"/>
      <c r="J1116" s="234"/>
      <c r="K1116" s="188">
        <f>ROUND(K1115/K$1121,3)</f>
        <v>0.28799999999999998</v>
      </c>
      <c r="L1116" s="217"/>
      <c r="M1116" s="188">
        <f>ROUND(M1115/M$1121,3)</f>
        <v>0</v>
      </c>
      <c r="N1116" s="292"/>
      <c r="O1116" s="293">
        <f>ROUND(O1115/O$1121,3)</f>
        <v>0.57599999999999996</v>
      </c>
      <c r="P1116" s="294"/>
      <c r="Q1116" s="293">
        <f>ROUND(Q1115/Q$1121,3)</f>
        <v>0</v>
      </c>
      <c r="R1116" s="294"/>
      <c r="S1116" s="295"/>
      <c r="W1116" s="380"/>
      <c r="X1116" s="110"/>
      <c r="Y1116" s="188" t="e">
        <f>ROUND(Y1115/(Y$1113+Y$1115+Y$1117+Y$1119+Y$1121+Y$1125+Y$1127+Y$1129+Y$1131+Y$1133+Y$1135),3)</f>
        <v>#DIV/0!</v>
      </c>
      <c r="Z1116" s="189"/>
      <c r="AA1116" s="188" t="e">
        <f>ROUND(AA1115/(AA$1113+AA$1115+AA$1117+AA$1119+AA$1121+AA$1125+AA$1127+AA$1129+AA$1131+AA$1133+AA$1135),3)</f>
        <v>#DIV/0!</v>
      </c>
      <c r="AB1116" s="190"/>
      <c r="AC1116" s="188" t="e">
        <f>ROUND(AC1115/(AC$1113+AC$1115+AC$1117+AC$1119+AC$1121+AC$1125+AC$1127+AC$1129+AC$1131+AC$1133+AC$1135),3)</f>
        <v>#DIV/0!</v>
      </c>
      <c r="AD1116" s="191"/>
      <c r="AE1116" s="192" t="e">
        <f>ROUND(AE1115/(AE$1113+AE$1115+AE$1117+AE$1119+AE$1121+AE$1125+AE$1127+AE$1129+AE$1131+AE$1133+AE$1135),3)</f>
        <v>#DIV/0!</v>
      </c>
      <c r="AF1116" s="94"/>
      <c r="AG1116" s="188">
        <f>ROUND(AG1115/(AG$1021+AG$1023+AG$1025+AG$1027+AG$1031+AG$1033),3)</f>
        <v>0.20100000000000001</v>
      </c>
      <c r="AH1116" s="189"/>
      <c r="AI1116" s="188">
        <f>ROUND(AI1115/(AI$1021+AI$1023+AI$1025+AI$1027+AI$1031+AI$1033),3)</f>
        <v>0.16700000000000001</v>
      </c>
      <c r="AJ1116" s="193"/>
      <c r="AK1116" s="188">
        <f>ROUND(AK1115/(AK$1021+AK$1023+AK$1025+AK$1027+AK$1031+AK$1033),3)</f>
        <v>0.19400000000000001</v>
      </c>
      <c r="AL1116" s="194"/>
      <c r="AM1116" s="188">
        <f>ROUND(AM1115/(AM$1021+AM$1025+AM$1023+AM$1027+AM$1031+AM$1033),3)</f>
        <v>0.21</v>
      </c>
      <c r="AN1116" s="226"/>
      <c r="AO1116" s="188">
        <v>0.153</v>
      </c>
    </row>
    <row r="1117" spans="3:44" ht="13.5" customHeight="1" x14ac:dyDescent="0.15">
      <c r="C1117" s="425">
        <v>6</v>
      </c>
      <c r="D1117" s="397"/>
      <c r="E1117" s="401" t="s">
        <v>368</v>
      </c>
      <c r="F1117" s="401"/>
      <c r="G1117" s="401"/>
      <c r="H1117" s="401"/>
      <c r="I1117" s="402"/>
      <c r="J1117" s="232">
        <v>21</v>
      </c>
      <c r="K1117" s="185">
        <v>34</v>
      </c>
      <c r="L1117" s="233">
        <v>14</v>
      </c>
      <c r="M1117" s="57">
        <v>6</v>
      </c>
      <c r="N1117" s="287">
        <v>21</v>
      </c>
      <c r="O1117" s="288">
        <v>34</v>
      </c>
      <c r="P1117" s="289">
        <v>14</v>
      </c>
      <c r="Q1117" s="290">
        <v>6</v>
      </c>
      <c r="R1117" s="289">
        <v>22</v>
      </c>
      <c r="S1117" s="291"/>
      <c r="W1117" s="383" t="s">
        <v>369</v>
      </c>
      <c r="X1117" s="145"/>
      <c r="Y1117" s="179">
        <f>AA1117+AC1117+AE1117</f>
        <v>0</v>
      </c>
      <c r="Z1117" s="180"/>
      <c r="AA1117" s="57">
        <v>0</v>
      </c>
      <c r="AB1117" s="181"/>
      <c r="AC1117" s="182">
        <v>0</v>
      </c>
      <c r="AD1117" s="183"/>
      <c r="AE1117" s="184">
        <v>0</v>
      </c>
      <c r="AF1117" s="144">
        <v>3</v>
      </c>
      <c r="AG1117" s="179">
        <f>AI1117+AK1117+AM1117</f>
        <v>151</v>
      </c>
      <c r="AH1117" s="180">
        <v>8</v>
      </c>
      <c r="AI1117" s="57">
        <v>4</v>
      </c>
      <c r="AJ1117" s="181">
        <v>2</v>
      </c>
      <c r="AK1117" s="179">
        <v>78</v>
      </c>
      <c r="AL1117" s="186">
        <v>5</v>
      </c>
      <c r="AM1117" s="57">
        <v>69</v>
      </c>
      <c r="AN1117" s="222">
        <v>3</v>
      </c>
      <c r="AO1117" s="179">
        <v>71</v>
      </c>
    </row>
    <row r="1118" spans="3:44" x14ac:dyDescent="0.15">
      <c r="C1118" s="425"/>
      <c r="D1118" s="397"/>
      <c r="E1118" s="403"/>
      <c r="F1118" s="403"/>
      <c r="G1118" s="403"/>
      <c r="H1118" s="403"/>
      <c r="I1118" s="404"/>
      <c r="J1118" s="234"/>
      <c r="K1118" s="188">
        <f>ROUND(K1117/K$1121,3)</f>
        <v>0.25800000000000001</v>
      </c>
      <c r="L1118" s="217"/>
      <c r="M1118" s="188">
        <f>ROUND(M1117/M$1121,3)</f>
        <v>9.0999999999999998E-2</v>
      </c>
      <c r="N1118" s="292"/>
      <c r="O1118" s="293">
        <f>ROUND(O1117/O$1121,3)</f>
        <v>0.51500000000000001</v>
      </c>
      <c r="P1118" s="294"/>
      <c r="Q1118" s="293">
        <f>ROUND(Q1117/Q$1121,3)</f>
        <v>9.0999999999999998E-2</v>
      </c>
      <c r="R1118" s="294"/>
      <c r="S1118" s="295"/>
      <c r="W1118" s="383"/>
      <c r="X1118" s="110"/>
      <c r="Y1118" s="188" t="e">
        <f>ROUND(Y1117/(Y$1113+Y$1115+Y$1117+Y$1119+Y$1121+Y$1125+Y$1127+Y$1129+Y$1131+Y$1133+Y$1135),3)</f>
        <v>#DIV/0!</v>
      </c>
      <c r="Z1118" s="189"/>
      <c r="AA1118" s="188" t="e">
        <f>ROUND(AA1117/(AA$1113+AA$1115+AA$1117+AA$1119+AA$1121+AA$1125+AA$1127+AA$1129+AA$1131+AA$1133+AA$1135),3)</f>
        <v>#DIV/0!</v>
      </c>
      <c r="AB1118" s="190"/>
      <c r="AC1118" s="188" t="e">
        <f>ROUND(AC1117/(AC$1113+AC$1115+AC$1117+AC$1119+AC$1121+AC$1125+AC$1127+AC$1129+AC$1131+AC$1133+AC$1135),3)</f>
        <v>#DIV/0!</v>
      </c>
      <c r="AD1118" s="191"/>
      <c r="AE1118" s="192" t="e">
        <f>ROUND(AE1117/(AE$1113+AE$1115+AE$1117+AE$1119+AE$1121+AE$1125+AE$1127+AE$1129+AE$1131+AE$1133+AE$1135),3)</f>
        <v>#DIV/0!</v>
      </c>
      <c r="AF1118" s="94"/>
      <c r="AG1118" s="188">
        <f>ROUND(AG1117/(AG$1021+AG$1023+AG$1025+AG$1027+AG$1031+AG$1033),3)</f>
        <v>0.19900000000000001</v>
      </c>
      <c r="AH1118" s="189"/>
      <c r="AI1118" s="188">
        <f>ROUND(AI1117/(AI$1021+AI$1023+AI$1025+AI$1027+AI$1031+AI$1033),3)</f>
        <v>6.0999999999999999E-2</v>
      </c>
      <c r="AJ1118" s="193"/>
      <c r="AK1118" s="188">
        <f>ROUND(AK1117/(AK$1021+AK$1023+AK$1025+AK$1027+AK$1031+AK$1033),3)</f>
        <v>0.29699999999999999</v>
      </c>
      <c r="AL1118" s="194"/>
      <c r="AM1118" s="188">
        <f>ROUND(AM1117/(AM$1021+AM$1025+AM$1023+AM$1027+AM$1031+AM$1033),3)</f>
        <v>0.161</v>
      </c>
      <c r="AN1118" s="229"/>
      <c r="AO1118" s="188">
        <v>0.16400000000000001</v>
      </c>
    </row>
    <row r="1119" spans="3:44" ht="13.5" customHeight="1" x14ac:dyDescent="0.15">
      <c r="C1119" s="298">
        <v>4</v>
      </c>
      <c r="D1119" s="397"/>
      <c r="E1119" s="401" t="s">
        <v>370</v>
      </c>
      <c r="F1119" s="401"/>
      <c r="G1119" s="401"/>
      <c r="H1119" s="401"/>
      <c r="I1119" s="402"/>
      <c r="J1119" s="232">
        <v>22</v>
      </c>
      <c r="K1119" s="185">
        <v>26</v>
      </c>
      <c r="L1119" s="233">
        <v>19</v>
      </c>
      <c r="M1119" s="57">
        <v>2</v>
      </c>
      <c r="N1119" s="287">
        <v>22</v>
      </c>
      <c r="O1119" s="288">
        <v>26</v>
      </c>
      <c r="P1119" s="289">
        <v>19</v>
      </c>
      <c r="Q1119" s="290">
        <v>2</v>
      </c>
      <c r="R1119" s="289">
        <v>21</v>
      </c>
      <c r="S1119" s="291"/>
      <c r="W1119" s="195" t="s">
        <v>371</v>
      </c>
      <c r="X1119" s="145"/>
      <c r="Y1119" s="179">
        <f>AA1119+AC1119+AE1119</f>
        <v>0</v>
      </c>
      <c r="Z1119" s="180"/>
      <c r="AA1119" s="57">
        <v>0</v>
      </c>
      <c r="AB1119" s="181"/>
      <c r="AC1119" s="182">
        <v>0</v>
      </c>
      <c r="AD1119" s="183"/>
      <c r="AE1119" s="184">
        <v>0</v>
      </c>
      <c r="AF1119" s="144">
        <v>4</v>
      </c>
      <c r="AG1119" s="179">
        <f>AI1119+AK1119+AM1119</f>
        <v>110</v>
      </c>
      <c r="AH1119" s="180">
        <v>2</v>
      </c>
      <c r="AI1119" s="57">
        <v>17</v>
      </c>
      <c r="AJ1119" s="181">
        <v>7</v>
      </c>
      <c r="AK1119" s="179">
        <v>20</v>
      </c>
      <c r="AL1119" s="186">
        <v>3</v>
      </c>
      <c r="AM1119" s="57">
        <v>73</v>
      </c>
      <c r="AN1119" s="222">
        <v>2</v>
      </c>
      <c r="AO1119" s="179">
        <v>75</v>
      </c>
      <c r="AR1119" s="1">
        <v>58</v>
      </c>
    </row>
    <row r="1120" spans="3:44" x14ac:dyDescent="0.15">
      <c r="C1120" s="298"/>
      <c r="D1120" s="397"/>
      <c r="E1120" s="403"/>
      <c r="F1120" s="403"/>
      <c r="G1120" s="403"/>
      <c r="H1120" s="403"/>
      <c r="I1120" s="404"/>
      <c r="J1120" s="234"/>
      <c r="K1120" s="188">
        <f>ROUND(K1119/K$1121,3)</f>
        <v>0.19700000000000001</v>
      </c>
      <c r="L1120" s="217"/>
      <c r="M1120" s="188">
        <f>ROUND(M1119/M$1121,3)</f>
        <v>0.03</v>
      </c>
      <c r="N1120" s="292"/>
      <c r="O1120" s="293">
        <f>ROUND(O1119/O$1121,3)</f>
        <v>0.39400000000000002</v>
      </c>
      <c r="P1120" s="294"/>
      <c r="Q1120" s="293">
        <f>ROUND(Q1119/Q$1121,3)</f>
        <v>0.03</v>
      </c>
      <c r="R1120" s="294"/>
      <c r="S1120" s="295"/>
      <c r="W1120" s="196" t="s">
        <v>372</v>
      </c>
      <c r="X1120" s="110"/>
      <c r="Y1120" s="188" t="e">
        <f>ROUND(Y1119/(Y$1113+Y$1115+Y$1117+Y$1119+Y$1121+Y$1125+Y$1127+Y$1129+Y$1131+Y$1133+Y$1135),3)</f>
        <v>#DIV/0!</v>
      </c>
      <c r="Z1120" s="189"/>
      <c r="AA1120" s="188" t="e">
        <f>ROUND(AA1119/(AA$1113+AA$1115+AA$1117+AA$1119+AA$1121+AA$1125+AA$1127+AA$1129+AA$1131+AA$1133+AA$1135),3)</f>
        <v>#DIV/0!</v>
      </c>
      <c r="AB1120" s="190"/>
      <c r="AC1120" s="188" t="e">
        <f>ROUND(AC1119/(AC$1113+AC$1115+AC$1117+AC$1119+AC$1121+AC$1125+AC$1127+AC$1129+AC$1131+AC$1133+AC$1135),3)</f>
        <v>#DIV/0!</v>
      </c>
      <c r="AD1120" s="191"/>
      <c r="AE1120" s="192" t="e">
        <f>ROUND(AE1119/(AE$1113+AE$1115+AE$1117+AE$1119+AE$1121+AE$1125+AE$1127+AE$1129+AE$1131+AE$1133+AE$1135),3)</f>
        <v>#DIV/0!</v>
      </c>
      <c r="AF1120" s="94"/>
      <c r="AG1120" s="188">
        <f>ROUND(AG1119/(AG$1021+AG$1023+AG$1025+AG$1027+AG$1031+AG$1033),3)</f>
        <v>0.14499999999999999</v>
      </c>
      <c r="AH1120" s="191"/>
      <c r="AI1120" s="188">
        <f>ROUND(AI1119/(AI$1021+AI$1023+AI$1025+AI$1027+AI$1031+AI$1033),3)</f>
        <v>0.25800000000000001</v>
      </c>
      <c r="AJ1120" s="193"/>
      <c r="AK1120" s="188">
        <f>ROUND(AK1119/(AK$1021+AK$1023+AK$1025+AK$1027+AK$1031+AK$1033),3)</f>
        <v>7.5999999999999998E-2</v>
      </c>
      <c r="AL1120" s="194"/>
      <c r="AM1120" s="188">
        <f>ROUND(AM1119/(AM$1021+AM$1025+AM$1023+AM$1027+AM$1031+AM$1033),3)</f>
        <v>0.17100000000000001</v>
      </c>
      <c r="AN1120" s="229"/>
      <c r="AO1120" s="188">
        <v>0.17399999999999999</v>
      </c>
    </row>
    <row r="1121" spans="2:41" x14ac:dyDescent="0.15">
      <c r="C1121" s="231"/>
      <c r="D1121" s="405" t="s">
        <v>333</v>
      </c>
      <c r="E1121" s="406"/>
      <c r="F1121" s="406"/>
      <c r="G1121" s="406"/>
      <c r="H1121" s="406"/>
      <c r="I1121" s="407"/>
      <c r="J1121" s="299"/>
      <c r="K1121" s="252">
        <f>SUM(M1180:R1180)</f>
        <v>132</v>
      </c>
      <c r="L1121" s="251"/>
      <c r="M1121" s="300">
        <v>66</v>
      </c>
      <c r="N1121" s="301"/>
      <c r="O1121" s="302">
        <f>SUM(Q1180:Z1180)</f>
        <v>66</v>
      </c>
      <c r="P1121" s="303"/>
      <c r="Q1121" s="304">
        <v>66</v>
      </c>
      <c r="R1121" s="303"/>
      <c r="S1121" s="305"/>
      <c r="W1121" s="224" t="s">
        <v>373</v>
      </c>
      <c r="X1121" s="145"/>
      <c r="Y1121" s="179">
        <f>AA1121+AC1121+AE1121</f>
        <v>0</v>
      </c>
      <c r="Z1121" s="205"/>
      <c r="AA1121" s="57">
        <v>0</v>
      </c>
      <c r="AB1121" s="181"/>
      <c r="AC1121" s="182">
        <v>0</v>
      </c>
      <c r="AD1121" s="183"/>
      <c r="AE1121" s="184">
        <v>0</v>
      </c>
      <c r="AF1121" s="144">
        <v>5</v>
      </c>
      <c r="AG1121" s="179">
        <f>AI1121+AK1121+AM1121</f>
        <v>104</v>
      </c>
      <c r="AH1121" s="180">
        <v>1</v>
      </c>
      <c r="AI1121" s="57">
        <v>24</v>
      </c>
      <c r="AJ1121" s="181">
        <v>9</v>
      </c>
      <c r="AK1121" s="179">
        <v>8</v>
      </c>
      <c r="AL1121" s="186">
        <v>4</v>
      </c>
      <c r="AM1121" s="57">
        <v>72</v>
      </c>
      <c r="AN1121" s="222">
        <v>7</v>
      </c>
      <c r="AO1121" s="179">
        <v>53</v>
      </c>
    </row>
    <row r="1122" spans="2:41" x14ac:dyDescent="0.15">
      <c r="C1122" s="231"/>
      <c r="D1122" s="405" t="s">
        <v>374</v>
      </c>
      <c r="E1122" s="406"/>
      <c r="F1122" s="406"/>
      <c r="G1122" s="406"/>
      <c r="H1122" s="406"/>
      <c r="I1122" s="407"/>
      <c r="J1122" s="306"/>
      <c r="K1122" s="307">
        <f>SUM(K1077,K1079,K1081,K1083,K1085,K1089,K1093,K1087,K1091,K1097,K1095,K1099,K1101,K1109,K1103,K1105,K1107,K1111,K1113,K1115,K1117,K1119)</f>
        <v>3950</v>
      </c>
      <c r="L1122" s="308"/>
      <c r="M1122" s="309">
        <f>SUM(M1077,M1079,M1081,M1083,M1085,M1089,M1093,M1087,M1091,M1097,M1095,M1099,M1101,M1109,M1103,M1105,M1107,M1111,M1113,M1115,M1117,M1119)</f>
        <v>332</v>
      </c>
      <c r="N1122" s="310"/>
      <c r="O1122" s="311">
        <f>SUM(O1077,O1079,O1081,O1083,O1085,O1089,O1093,O1087,O1091,O1097,O1095,O1099,O1101,O1109,O1103,O1105,O1107,O1111,O1113,O1115,O1117,O1119)</f>
        <v>3950</v>
      </c>
      <c r="P1122" s="312"/>
      <c r="Q1122" s="313">
        <f>SUM(Q1077,Q1079,Q1081,Q1083,Q1085,Q1089,Q1093,Q1087,Q1091,Q1097,Q1095,Q1099,Q1101,Q1109,Q1103,Q1105,Q1107,Q1111,Q1113,Q1115,Q1117,Q1119)</f>
        <v>332</v>
      </c>
      <c r="R1122" s="312"/>
      <c r="S1122" s="305"/>
      <c r="W1122" s="225" t="s">
        <v>375</v>
      </c>
      <c r="X1122" s="110"/>
      <c r="Y1122" s="188" t="e">
        <f>ROUND(Y1121/(Y$1113+Y$1115+Y$1117+Y$1119+Y$1121+Y$1125+Y$1127+Y$1129+Y$1131+Y$1133+Y$1135),3)</f>
        <v>#DIV/0!</v>
      </c>
      <c r="Z1122" s="189"/>
      <c r="AA1122" s="188" t="e">
        <f>ROUND(AA1121/(AA$1113+AA$1115+AA$1117+AA$1119+AA$1121+AA$1125+AA$1127+AA$1129+AA$1131+AA$1133+AA$1135),3)</f>
        <v>#DIV/0!</v>
      </c>
      <c r="AB1122" s="190"/>
      <c r="AC1122" s="188" t="e">
        <f>ROUND(AC1121/(AC$1113+AC$1115+AC$1117+AC$1119+AC$1121+AC$1125+AC$1127+AC$1129+AC$1131+AC$1133+AC$1135),3)</f>
        <v>#DIV/0!</v>
      </c>
      <c r="AD1122" s="191"/>
      <c r="AE1122" s="192" t="e">
        <f>ROUND(AE1121/(AE$1113+AE$1115+AE$1117+AE$1119+AE$1121+AE$1125+AE$1127+AE$1129+AE$1131+AE$1133+AE$1135),3)</f>
        <v>#DIV/0!</v>
      </c>
      <c r="AF1122" s="94"/>
      <c r="AG1122" s="188">
        <f>ROUND(AG1121/(AG$1021+AG$1023+AG$1025+AG$1027+AG$1031+AG$1033),3)</f>
        <v>0.13700000000000001</v>
      </c>
      <c r="AH1122" s="191"/>
      <c r="AI1122" s="188">
        <f>ROUND(AI1121/(AI$1021+AI$1023+AI$1025+AI$1027+AI$1031+AI$1033),3)</f>
        <v>0.36399999999999999</v>
      </c>
      <c r="AJ1122" s="193"/>
      <c r="AK1122" s="188">
        <f>ROUND(AK1121/(AK$1021+AK$1023+AK$1025+AK$1027+AK$1031+AK$1033),3)</f>
        <v>0.03</v>
      </c>
      <c r="AL1122" s="194"/>
      <c r="AM1122" s="188">
        <f>ROUND(AM1121/(AM$1021+AM$1025+AM$1023+AM$1027+AM$1031+AM$1033),3)</f>
        <v>0.16800000000000001</v>
      </c>
      <c r="AN1122" s="229"/>
      <c r="AO1122" s="188">
        <v>0.123</v>
      </c>
    </row>
    <row r="1123" spans="2:41" x14ac:dyDescent="0.15">
      <c r="D1123" s="267"/>
      <c r="E1123" s="48"/>
      <c r="F1123" s="48"/>
      <c r="G1123" s="48"/>
      <c r="H1123" s="48"/>
      <c r="I1123" s="48"/>
      <c r="K1123" s="314" t="str">
        <f>IF(K1122=[1]★Ｈ２５入力表!BN787,"ok","NG")</f>
        <v>NG</v>
      </c>
      <c r="L1123" s="315"/>
      <c r="M1123" s="314" t="str">
        <f>IF(M1122=[1]★Ｈ２５入力表!$BM780,"ok","NG")</f>
        <v>ok</v>
      </c>
      <c r="N1123" s="316"/>
      <c r="O1123" s="317" t="str">
        <f>IF(O1122=[1]★Ｈ２５入力表!BR787,"ok","NG")</f>
        <v>NG</v>
      </c>
      <c r="P1123" s="318"/>
      <c r="Q1123" s="317" t="str">
        <f>IF(Q1122=[1]★Ｈ２５入力表!$BM780,"ok","NG")</f>
        <v>ok</v>
      </c>
      <c r="R1123" s="318"/>
      <c r="S1123" s="318"/>
      <c r="W1123" s="381" t="s">
        <v>376</v>
      </c>
      <c r="X1123" s="197"/>
      <c r="Y1123" s="388" t="s">
        <v>41</v>
      </c>
      <c r="Z1123" s="319"/>
      <c r="AA1123" s="388" t="s">
        <v>41</v>
      </c>
      <c r="AB1123" s="320"/>
      <c r="AC1123" s="388" t="s">
        <v>41</v>
      </c>
      <c r="AD1123" s="198"/>
      <c r="AE1123" s="423" t="s">
        <v>41</v>
      </c>
      <c r="AF1123" s="144">
        <v>6</v>
      </c>
      <c r="AG1123" s="179">
        <f>AI1123+AK1123+AM1123</f>
        <v>103</v>
      </c>
      <c r="AH1123" s="180">
        <v>7</v>
      </c>
      <c r="AI1123" s="57">
        <v>6</v>
      </c>
      <c r="AJ1123" s="181">
        <v>5</v>
      </c>
      <c r="AK1123" s="179">
        <v>37</v>
      </c>
      <c r="AL1123" s="186">
        <v>7</v>
      </c>
      <c r="AM1123" s="57">
        <v>60</v>
      </c>
      <c r="AN1123" s="222">
        <v>6</v>
      </c>
      <c r="AO1123" s="179">
        <v>58</v>
      </c>
    </row>
    <row r="1124" spans="2:41" x14ac:dyDescent="0.15">
      <c r="W1124" s="382"/>
      <c r="X1124" s="197"/>
      <c r="Y1124" s="389"/>
      <c r="Z1124" s="319"/>
      <c r="AA1124" s="389"/>
      <c r="AB1124" s="320"/>
      <c r="AC1124" s="389"/>
      <c r="AD1124" s="198"/>
      <c r="AE1124" s="424"/>
      <c r="AF1124" s="94"/>
      <c r="AG1124" s="188">
        <f>ROUND(AG1123/(AG$1021+AG$1023+AG$1025+AG$1027+AG$1031+AG$1033),3)</f>
        <v>0.13600000000000001</v>
      </c>
      <c r="AH1124" s="191"/>
      <c r="AI1124" s="188">
        <f>ROUND(AI1123/(AI$1021+AI$1023+AI$1025+AI$1027+AI$1031+AI$1033),3)</f>
        <v>9.0999999999999998E-2</v>
      </c>
      <c r="AJ1124" s="193"/>
      <c r="AK1124" s="188">
        <f>ROUND(AK1123/(AK$1021+AK$1023+AK$1025+AK$1027+AK$1031+AK$1033),3)</f>
        <v>0.14099999999999999</v>
      </c>
      <c r="AL1124" s="194"/>
      <c r="AM1124" s="188">
        <f>ROUND(AM1123/(AM$1021+AM$1025+AM$1023+AM$1027+AM$1031+AM$1033),3)</f>
        <v>0.14000000000000001</v>
      </c>
      <c r="AN1124" s="229"/>
      <c r="AO1124" s="188">
        <v>0.13400000000000001</v>
      </c>
    </row>
    <row r="1125" spans="2:41" x14ac:dyDescent="0.15">
      <c r="B1125" s="2" t="s">
        <v>377</v>
      </c>
      <c r="C1125" s="2" t="s">
        <v>378</v>
      </c>
      <c r="W1125" s="224" t="s">
        <v>379</v>
      </c>
      <c r="X1125" s="145"/>
      <c r="Y1125" s="179">
        <f>AA1125+AC1125+AE1125</f>
        <v>0</v>
      </c>
      <c r="Z1125" s="321"/>
      <c r="AA1125" s="57">
        <v>0</v>
      </c>
      <c r="AB1125" s="203"/>
      <c r="AC1125" s="182">
        <v>0</v>
      </c>
      <c r="AD1125" s="205"/>
      <c r="AE1125" s="184">
        <v>0</v>
      </c>
      <c r="AF1125" s="144">
        <v>7</v>
      </c>
      <c r="AG1125" s="179">
        <f>AI1125+AK1125+AM1125</f>
        <v>100</v>
      </c>
      <c r="AH1125" s="180">
        <v>4</v>
      </c>
      <c r="AI1125" s="57">
        <v>13</v>
      </c>
      <c r="AJ1125" s="181">
        <v>6</v>
      </c>
      <c r="AK1125" s="179">
        <v>25</v>
      </c>
      <c r="AL1125" s="186">
        <v>6</v>
      </c>
      <c r="AM1125" s="57">
        <v>62</v>
      </c>
      <c r="AN1125" s="322">
        <v>5</v>
      </c>
      <c r="AO1125" s="57">
        <v>60</v>
      </c>
    </row>
    <row r="1126" spans="2:41" x14ac:dyDescent="0.15">
      <c r="D1126" s="411"/>
      <c r="E1126" s="412"/>
      <c r="F1126" s="412"/>
      <c r="G1126" s="412"/>
      <c r="H1126" s="412"/>
      <c r="I1126" s="413"/>
      <c r="J1126" s="399" t="s">
        <v>274</v>
      </c>
      <c r="K1126" s="386"/>
      <c r="L1126" s="386"/>
      <c r="M1126" s="386"/>
      <c r="N1126" s="386"/>
      <c r="O1126" s="386"/>
      <c r="P1126" s="386"/>
      <c r="Q1126" s="386"/>
      <c r="R1126" s="386"/>
      <c r="S1126" s="100"/>
      <c r="W1126" s="225" t="s">
        <v>380</v>
      </c>
      <c r="X1126" s="110"/>
      <c r="Y1126" s="188" t="e">
        <f>ROUND(Y1125/(Y$1113+Y$1115+Y$1117+Y$1119+Y$1121+Y$1125+Y$1127+Y$1129+Y$1131+Y$1133+Y$1135),3)</f>
        <v>#DIV/0!</v>
      </c>
      <c r="Z1126" s="189"/>
      <c r="AA1126" s="188" t="e">
        <f>ROUND(AA1125/(AA$1113+AA$1115+AA$1117+AA$1119+AA$1121+AA$1125+AA$1127+AA$1129+AA$1131+AA$1133+AA$1135),3)</f>
        <v>#DIV/0!</v>
      </c>
      <c r="AB1126" s="190"/>
      <c r="AC1126" s="188" t="e">
        <f>ROUND(AC1125/(AC$1113+AC$1115+AC$1117+AC$1119+AC$1121+AC$1125+AC$1127+AC$1129+AC$1131+AC$1133+AC$1135),3)</f>
        <v>#DIV/0!</v>
      </c>
      <c r="AD1126" s="191"/>
      <c r="AE1126" s="192" t="e">
        <f>ROUND(AE1125/(AE$1113+AE$1115+AE$1117+AE$1119+AE$1121+AE$1125+AE$1127+AE$1129+AE$1131+AE$1133+AE$1135),3)</f>
        <v>#DIV/0!</v>
      </c>
      <c r="AF1126" s="94"/>
      <c r="AG1126" s="188">
        <f>ROUND(AG1125/(AG$1021+AG$1023+AG$1025+AG$1027+AG$1031+AG$1033),3)</f>
        <v>0.13200000000000001</v>
      </c>
      <c r="AH1126" s="191"/>
      <c r="AI1126" s="188">
        <f>ROUND(AI1125/(AI$1021+AI$1023+AI$1025+AI$1027+AI$1031+AI$1033),3)</f>
        <v>0.19700000000000001</v>
      </c>
      <c r="AJ1126" s="193"/>
      <c r="AK1126" s="188">
        <f>ROUND(AK1125/(AK$1021+AK$1023+AK$1025+AK$1027+AK$1031+AK$1033),3)</f>
        <v>9.5000000000000001E-2</v>
      </c>
      <c r="AL1126" s="194"/>
      <c r="AM1126" s="188">
        <f>ROUND(AM1125/(AM$1021+AM$1025+AM$1023+AM$1027+AM$1031+AM$1033),3)</f>
        <v>0.14499999999999999</v>
      </c>
      <c r="AN1126" s="323"/>
      <c r="AO1126" s="188">
        <v>0.13900000000000001</v>
      </c>
    </row>
    <row r="1127" spans="2:41" x14ac:dyDescent="0.15">
      <c r="D1127" s="414"/>
      <c r="E1127" s="415"/>
      <c r="F1127" s="415"/>
      <c r="G1127" s="415"/>
      <c r="H1127" s="415"/>
      <c r="I1127" s="416"/>
      <c r="J1127" s="230"/>
      <c r="K1127" s="19"/>
      <c r="L1127" s="394" t="s">
        <v>29</v>
      </c>
      <c r="M1127" s="394"/>
      <c r="N1127" s="230"/>
      <c r="O1127" s="19"/>
      <c r="P1127" s="394" t="s">
        <v>29</v>
      </c>
      <c r="Q1127" s="394"/>
      <c r="R1127" s="15" t="s">
        <v>31</v>
      </c>
      <c r="S1127" s="101"/>
      <c r="W1127" s="381" t="s">
        <v>381</v>
      </c>
      <c r="X1127" s="197"/>
      <c r="Y1127" s="179">
        <f>AA1127+AC1127+AE1127</f>
        <v>0</v>
      </c>
      <c r="Z1127" s="319"/>
      <c r="AA1127" s="57">
        <v>0</v>
      </c>
      <c r="AB1127" s="320"/>
      <c r="AC1127" s="182">
        <v>0</v>
      </c>
      <c r="AD1127" s="198"/>
      <c r="AE1127" s="184">
        <v>0</v>
      </c>
      <c r="AF1127" s="100">
        <v>8</v>
      </c>
      <c r="AG1127" s="179">
        <f>AI1127+AK1127+AM1127</f>
        <v>98</v>
      </c>
      <c r="AH1127" s="180">
        <v>6</v>
      </c>
      <c r="AI1127" s="57">
        <v>9</v>
      </c>
      <c r="AJ1127" s="181">
        <v>4</v>
      </c>
      <c r="AK1127" s="179">
        <v>38</v>
      </c>
      <c r="AL1127" s="186">
        <v>8</v>
      </c>
      <c r="AM1127" s="57">
        <v>51</v>
      </c>
      <c r="AN1127" s="322">
        <v>8</v>
      </c>
      <c r="AO1127" s="57">
        <v>39</v>
      </c>
    </row>
    <row r="1128" spans="2:41" ht="13.5" customHeight="1" x14ac:dyDescent="0.15">
      <c r="C1128" s="418"/>
      <c r="D1128" s="410"/>
      <c r="E1128" s="401" t="s">
        <v>382</v>
      </c>
      <c r="F1128" s="401"/>
      <c r="G1128" s="401"/>
      <c r="H1128" s="401"/>
      <c r="I1128" s="402"/>
      <c r="J1128" s="324">
        <v>1</v>
      </c>
      <c r="K1128" s="325">
        <v>131</v>
      </c>
      <c r="L1128" s="326">
        <v>3</v>
      </c>
      <c r="M1128" s="179">
        <v>7</v>
      </c>
      <c r="N1128" s="324">
        <v>1</v>
      </c>
      <c r="O1128" s="325">
        <v>131</v>
      </c>
      <c r="P1128" s="326">
        <v>3</v>
      </c>
      <c r="Q1128" s="179">
        <v>7</v>
      </c>
      <c r="R1128" s="326">
        <v>1</v>
      </c>
      <c r="S1128" s="100"/>
      <c r="W1128" s="382"/>
      <c r="X1128" s="197"/>
      <c r="Y1128" s="188" t="e">
        <f>ROUND(Y1127/(Y$1113+Y$1115+Y$1117+Y$1119+Y$1121+Y$1125+Y$1127+Y$1129+Y$1131+Y$1133+Y$1135),3)</f>
        <v>#DIV/0!</v>
      </c>
      <c r="Z1128" s="319"/>
      <c r="AA1128" s="188" t="e">
        <f>ROUND(AA1127/(AA$1113+AA$1115+AA$1117+AA$1119+AA$1121+AA$1125+AA$1127+AA$1129+AA$1131+AA$1133+AA$1135),3)</f>
        <v>#DIV/0!</v>
      </c>
      <c r="AB1128" s="320"/>
      <c r="AC1128" s="188" t="e">
        <f>ROUND(AC1127/(AC$1113+AC$1115+AC$1117+AC$1119+AC$1121+AC$1125+AC$1127+AC$1129+AC$1131+AC$1133+AC$1135),3)</f>
        <v>#DIV/0!</v>
      </c>
      <c r="AD1128" s="198"/>
      <c r="AE1128" s="192" t="e">
        <f>ROUND(AE1127/(AE$1113+AE$1115+AE$1117+AE$1119+AE$1121+AE$1125+AE$1127+AE$1129+AE$1131+AE$1133+AE$1135),3)</f>
        <v>#DIV/0!</v>
      </c>
      <c r="AF1128" s="100"/>
      <c r="AG1128" s="188">
        <f>ROUND(AG1127/(AG$1021+AG$1023+AG$1025+AG$1027+AG$1031+AG$1033),3)</f>
        <v>0.129</v>
      </c>
      <c r="AH1128" s="191"/>
      <c r="AI1128" s="188">
        <f>ROUND(AI1127/(AI$1021+AI$1023+AI$1025+AI$1027+AI$1031+AI$1033),3)</f>
        <v>0.13600000000000001</v>
      </c>
      <c r="AJ1128" s="193"/>
      <c r="AK1128" s="188">
        <f>ROUND(AK1127/(AK$1021+AK$1023+AK$1025+AK$1027+AK$1031+AK$1033),3)</f>
        <v>0.14399999999999999</v>
      </c>
      <c r="AL1128" s="194"/>
      <c r="AM1128" s="188">
        <f>ROUND(AM1127/(AM$1021+AM$1025+AM$1023+AM$1027+AM$1031+AM$1033),3)</f>
        <v>0.11899999999999999</v>
      </c>
      <c r="AN1128" s="323"/>
      <c r="AO1128" s="188">
        <v>0.09</v>
      </c>
    </row>
    <row r="1129" spans="2:41" x14ac:dyDescent="0.15">
      <c r="C1129" s="418"/>
      <c r="D1129" s="400"/>
      <c r="E1129" s="403"/>
      <c r="F1129" s="403"/>
      <c r="G1129" s="403"/>
      <c r="H1129" s="403"/>
      <c r="I1129" s="404"/>
      <c r="J1129" s="327"/>
      <c r="K1129" s="188" t="e">
        <f>ROUND(K1128/K$1152,3)</f>
        <v>#DIV/0!</v>
      </c>
      <c r="L1129" s="328"/>
      <c r="M1129" s="188">
        <f>ROUND(M1128/M$1152,3)</f>
        <v>0.106</v>
      </c>
      <c r="N1129" s="327"/>
      <c r="O1129" s="188" t="e">
        <f>ROUND(O1128/O$1152,3)</f>
        <v>#DIV/0!</v>
      </c>
      <c r="P1129" s="328"/>
      <c r="Q1129" s="188">
        <f>ROUND(Q1128/Q$1152,3)</f>
        <v>0.106</v>
      </c>
      <c r="R1129" s="328"/>
      <c r="S1129" s="101"/>
      <c r="W1129" s="329" t="s">
        <v>383</v>
      </c>
      <c r="X1129" s="145"/>
      <c r="Y1129" s="179">
        <f>AA1129+AC1129+AE1129</f>
        <v>0</v>
      </c>
      <c r="Z1129" s="321"/>
      <c r="AA1129" s="57">
        <v>0</v>
      </c>
      <c r="AB1129" s="203"/>
      <c r="AC1129" s="182">
        <v>0</v>
      </c>
      <c r="AD1129" s="205"/>
      <c r="AE1129" s="184">
        <v>0</v>
      </c>
      <c r="AF1129" s="144">
        <v>9</v>
      </c>
      <c r="AG1129" s="179">
        <f>AI1129+AK1129+AM1129</f>
        <v>35</v>
      </c>
      <c r="AH1129" s="180" t="s">
        <v>41</v>
      </c>
      <c r="AI1129" s="57">
        <v>0</v>
      </c>
      <c r="AJ1129" s="181">
        <v>8</v>
      </c>
      <c r="AK1129" s="179">
        <v>13</v>
      </c>
      <c r="AL1129" s="186">
        <v>9</v>
      </c>
      <c r="AM1129" s="57">
        <v>22</v>
      </c>
      <c r="AN1129" s="322">
        <v>9</v>
      </c>
      <c r="AO1129" s="57">
        <v>20</v>
      </c>
    </row>
    <row r="1130" spans="2:41" ht="13.5" customHeight="1" x14ac:dyDescent="0.15">
      <c r="C1130" s="418"/>
      <c r="D1130" s="399"/>
      <c r="E1130" s="401" t="s">
        <v>384</v>
      </c>
      <c r="F1130" s="401"/>
      <c r="G1130" s="401"/>
      <c r="H1130" s="401"/>
      <c r="I1130" s="402"/>
      <c r="J1130" s="324">
        <v>2</v>
      </c>
      <c r="K1130" s="325">
        <v>94</v>
      </c>
      <c r="L1130" s="326">
        <v>2</v>
      </c>
      <c r="M1130" s="179">
        <v>11</v>
      </c>
      <c r="N1130" s="324">
        <v>2</v>
      </c>
      <c r="O1130" s="325">
        <v>94</v>
      </c>
      <c r="P1130" s="326">
        <v>2</v>
      </c>
      <c r="Q1130" s="179">
        <v>11</v>
      </c>
      <c r="R1130" s="326">
        <v>2</v>
      </c>
      <c r="S1130" s="100"/>
      <c r="W1130" s="225" t="s">
        <v>385</v>
      </c>
      <c r="X1130" s="110"/>
      <c r="Y1130" s="188" t="e">
        <f>ROUND(Y1129/(Y$1113+Y$1115+Y$1117+Y$1119+Y$1121+Y$1125+Y$1127+Y$1129+Y$1131+Y$1133+Y$1135),3)</f>
        <v>#DIV/0!</v>
      </c>
      <c r="Z1130" s="189"/>
      <c r="AA1130" s="188" t="e">
        <f>ROUND(AA1129/(AA$1113+AA$1115+AA$1117+AA$1119+AA$1121+AA$1125+AA$1127+AA$1129+AA$1131+AA$1133+AA$1135),3)</f>
        <v>#DIV/0!</v>
      </c>
      <c r="AB1130" s="190"/>
      <c r="AC1130" s="188" t="e">
        <f>ROUND(AC1129/(AC$1113+AC$1115+AC$1117+AC$1119+AC$1121+AC$1125+AC$1127+AC$1129+AC$1131+AC$1133+AC$1135),3)</f>
        <v>#DIV/0!</v>
      </c>
      <c r="AD1130" s="191"/>
      <c r="AE1130" s="192" t="e">
        <f>ROUND(AE1129/(AE$1113+AE$1115+AE$1117+AE$1119+AE$1121+AE$1125+AE$1127+AE$1129+AE$1131+AE$1133+AE$1135),3)</f>
        <v>#DIV/0!</v>
      </c>
      <c r="AF1130" s="94"/>
      <c r="AG1130" s="188">
        <f>ROUND(AG1129/(AG$1021+AG$1023+AG$1025+AG$1027+AG$1031+AG$1033),3)</f>
        <v>4.5999999999999999E-2</v>
      </c>
      <c r="AH1130" s="191"/>
      <c r="AI1130" s="188">
        <f>ROUND(AI1129/(AI$1021+AI$1023+AI$1025+AI$1027+AI$1031+AI$1033),3)</f>
        <v>0</v>
      </c>
      <c r="AJ1130" s="193"/>
      <c r="AK1130" s="188">
        <f>ROUND(AK1129/(AK$1021+AK$1023+AK$1025+AK$1027+AK$1031+AK$1033),3)</f>
        <v>4.9000000000000002E-2</v>
      </c>
      <c r="AL1130" s="194"/>
      <c r="AM1130" s="188">
        <f>ROUND(AM1129/(AM$1021+AM$1025+AM$1023+AM$1027+AM$1031+AM$1033),3)</f>
        <v>5.0999999999999997E-2</v>
      </c>
      <c r="AN1130" s="323"/>
      <c r="AO1130" s="188">
        <v>4.5999999999999999E-2</v>
      </c>
    </row>
    <row r="1131" spans="2:41" x14ac:dyDescent="0.15">
      <c r="C1131" s="418"/>
      <c r="D1131" s="400"/>
      <c r="E1131" s="403"/>
      <c r="F1131" s="403"/>
      <c r="G1131" s="403"/>
      <c r="H1131" s="403"/>
      <c r="I1131" s="404"/>
      <c r="J1131" s="327"/>
      <c r="K1131" s="188" t="e">
        <f>ROUND(K1130/K$1152,3)</f>
        <v>#DIV/0!</v>
      </c>
      <c r="L1131" s="328"/>
      <c r="M1131" s="188">
        <f>ROUND(M1130/M$1152,3)</f>
        <v>0.16700000000000001</v>
      </c>
      <c r="N1131" s="327"/>
      <c r="O1131" s="188" t="e">
        <f>ROUND(O1130/O$1152,3)</f>
        <v>#DIV/0!</v>
      </c>
      <c r="P1131" s="328"/>
      <c r="Q1131" s="188">
        <f>ROUND(Q1130/Q$1152,3)</f>
        <v>0.16700000000000001</v>
      </c>
      <c r="R1131" s="328"/>
      <c r="S1131" s="101"/>
      <c r="W1131" s="330" t="s">
        <v>386</v>
      </c>
      <c r="X1131" s="197"/>
      <c r="Y1131" s="179">
        <f>AA1131+AC1131+AE1131</f>
        <v>0</v>
      </c>
      <c r="Z1131" s="319"/>
      <c r="AA1131" s="57">
        <v>0</v>
      </c>
      <c r="AB1131" s="320"/>
      <c r="AC1131" s="182">
        <v>0</v>
      </c>
      <c r="AD1131" s="198"/>
      <c r="AE1131" s="184">
        <v>0</v>
      </c>
      <c r="AF1131" s="100">
        <v>10</v>
      </c>
      <c r="AG1131" s="179">
        <f>AI1131+AK1131+AM1131</f>
        <v>21</v>
      </c>
      <c r="AH1131" s="180">
        <v>9</v>
      </c>
      <c r="AI1131" s="57">
        <v>3</v>
      </c>
      <c r="AJ1131" s="181">
        <v>10</v>
      </c>
      <c r="AK1131" s="179">
        <v>7</v>
      </c>
      <c r="AL1131" s="186">
        <v>10</v>
      </c>
      <c r="AM1131" s="57">
        <v>11</v>
      </c>
      <c r="AN1131" s="322">
        <v>10</v>
      </c>
      <c r="AO1131" s="57">
        <v>10</v>
      </c>
    </row>
    <row r="1132" spans="2:41" ht="13.5" customHeight="1" x14ac:dyDescent="0.15">
      <c r="C1132" s="418"/>
      <c r="D1132" s="410"/>
      <c r="E1132" s="401" t="s">
        <v>387</v>
      </c>
      <c r="F1132" s="401"/>
      <c r="G1132" s="401"/>
      <c r="H1132" s="401"/>
      <c r="I1132" s="402"/>
      <c r="J1132" s="324">
        <v>3</v>
      </c>
      <c r="K1132" s="325">
        <v>79</v>
      </c>
      <c r="L1132" s="326">
        <v>5</v>
      </c>
      <c r="M1132" s="179">
        <v>4</v>
      </c>
      <c r="N1132" s="324">
        <v>3</v>
      </c>
      <c r="O1132" s="325">
        <v>79</v>
      </c>
      <c r="P1132" s="326">
        <v>5</v>
      </c>
      <c r="Q1132" s="179">
        <v>4</v>
      </c>
      <c r="R1132" s="326">
        <v>4</v>
      </c>
      <c r="S1132" s="100"/>
      <c r="W1132" s="237" t="s">
        <v>388</v>
      </c>
      <c r="X1132" s="197"/>
      <c r="Y1132" s="188" t="e">
        <f>ROUND(Y1131/(Y$1113+Y$1115+Y$1117+Y$1119+Y$1121+Y$1125+Y$1127+Y$1129+Y$1131+Y$1133+Y$1135),3)</f>
        <v>#DIV/0!</v>
      </c>
      <c r="Z1132" s="319"/>
      <c r="AA1132" s="188" t="e">
        <f>ROUND(AA1131/(AA$1113+AA$1115+AA$1117+AA$1119+AA$1121+AA$1125+AA$1127+AA$1129+AA$1131+AA$1133+AA$1135),3)</f>
        <v>#DIV/0!</v>
      </c>
      <c r="AB1132" s="320"/>
      <c r="AC1132" s="188" t="e">
        <f>ROUND(AC1131/(AC$1113+AC$1115+AC$1117+AC$1119+AC$1121+AC$1125+AC$1127+AC$1129+AC$1131+AC$1133+AC$1135),3)</f>
        <v>#DIV/0!</v>
      </c>
      <c r="AD1132" s="198"/>
      <c r="AE1132" s="192" t="e">
        <f>ROUND(AE1131/(AE$1113+AE$1115+AE$1117+AE$1119+AE$1121+AE$1125+AE$1127+AE$1129+AE$1131+AE$1133+AE$1135),3)</f>
        <v>#DIV/0!</v>
      </c>
      <c r="AF1132" s="331"/>
      <c r="AG1132" s="188">
        <f>ROUND(AG1131/(AG$1021+AG$1023+AG$1025+AG$1027+AG$1031+AG$1033),3)</f>
        <v>2.8000000000000001E-2</v>
      </c>
      <c r="AH1132" s="191"/>
      <c r="AI1132" s="188">
        <f>ROUND(AI1131/(AI$1021+AI$1023+AI$1025+AI$1027+AI$1031+AI$1033),3)</f>
        <v>4.4999999999999998E-2</v>
      </c>
      <c r="AJ1132" s="193"/>
      <c r="AK1132" s="188">
        <f>ROUND(AK1131/(AK$1021+AK$1023+AK$1025+AK$1027+AK$1031+AK$1033),3)</f>
        <v>2.7E-2</v>
      </c>
      <c r="AL1132" s="194"/>
      <c r="AM1132" s="188">
        <f>ROUND(AM1131/(AM$1021+AM$1025+AM$1023+AM$1027+AM$1031+AM$1033),3)</f>
        <v>2.5999999999999999E-2</v>
      </c>
      <c r="AN1132" s="323"/>
      <c r="AO1132" s="188">
        <v>2.3E-2</v>
      </c>
    </row>
    <row r="1133" spans="2:41" x14ac:dyDescent="0.15">
      <c r="C1133" s="418"/>
      <c r="D1133" s="400"/>
      <c r="E1133" s="403"/>
      <c r="F1133" s="403"/>
      <c r="G1133" s="403"/>
      <c r="H1133" s="403"/>
      <c r="I1133" s="404"/>
      <c r="J1133" s="327"/>
      <c r="K1133" s="188" t="e">
        <f>ROUND(K1132/K$1152,3)</f>
        <v>#DIV/0!</v>
      </c>
      <c r="L1133" s="328"/>
      <c r="M1133" s="188">
        <f>ROUND(M1132/M$1152,3)</f>
        <v>6.0999999999999999E-2</v>
      </c>
      <c r="N1133" s="327"/>
      <c r="O1133" s="188" t="e">
        <f>ROUND(O1132/O$1152,3)</f>
        <v>#DIV/0!</v>
      </c>
      <c r="P1133" s="328"/>
      <c r="Q1133" s="188">
        <f>ROUND(Q1132/Q$1152,3)</f>
        <v>6.0999999999999999E-2</v>
      </c>
      <c r="R1133" s="328"/>
      <c r="S1133" s="101"/>
      <c r="W1133" s="383" t="s">
        <v>300</v>
      </c>
      <c r="X1133" s="201"/>
      <c r="Y1133" s="179">
        <f>AA1133+AC1133+AE1133</f>
        <v>0</v>
      </c>
      <c r="Z1133" s="202"/>
      <c r="AA1133" s="57">
        <v>0</v>
      </c>
      <c r="AB1133" s="203"/>
      <c r="AC1133" s="182">
        <v>0</v>
      </c>
      <c r="AD1133" s="183"/>
      <c r="AE1133" s="184">
        <v>0</v>
      </c>
      <c r="AF1133" s="100"/>
      <c r="AG1133" s="388" t="s">
        <v>41</v>
      </c>
      <c r="AH1133" s="319"/>
      <c r="AI1133" s="388" t="s">
        <v>41</v>
      </c>
      <c r="AJ1133" s="320"/>
      <c r="AK1133" s="388" t="s">
        <v>41</v>
      </c>
      <c r="AL1133" s="198"/>
      <c r="AM1133" s="390" t="s">
        <v>41</v>
      </c>
      <c r="AN1133" s="322"/>
      <c r="AO1133" s="392" t="s">
        <v>41</v>
      </c>
    </row>
    <row r="1134" spans="2:41" ht="13.5" customHeight="1" x14ac:dyDescent="0.15">
      <c r="C1134" s="418"/>
      <c r="D1134" s="410"/>
      <c r="E1134" s="401" t="s">
        <v>389</v>
      </c>
      <c r="F1134" s="401"/>
      <c r="G1134" s="401"/>
      <c r="H1134" s="401"/>
      <c r="I1134" s="402"/>
      <c r="J1134" s="324">
        <v>4</v>
      </c>
      <c r="K1134" s="325">
        <v>77</v>
      </c>
      <c r="L1134" s="326">
        <v>5</v>
      </c>
      <c r="M1134" s="179">
        <v>4</v>
      </c>
      <c r="N1134" s="324">
        <v>4</v>
      </c>
      <c r="O1134" s="325">
        <v>77</v>
      </c>
      <c r="P1134" s="326">
        <v>5</v>
      </c>
      <c r="Q1134" s="179">
        <v>4</v>
      </c>
      <c r="R1134" s="326">
        <v>3</v>
      </c>
      <c r="S1134" s="100"/>
      <c r="W1134" s="383"/>
      <c r="X1134" s="206"/>
      <c r="Y1134" s="188" t="e">
        <f>ROUND(Y1133/(Y$1113+Y$1115+Y$1117+Y$1119+Y$1121+Y$1125+Y$1127+Y$1129+Y$1131+Y$1133+Y$1135),3)</f>
        <v>#DIV/0!</v>
      </c>
      <c r="Z1134" s="189"/>
      <c r="AA1134" s="188" t="e">
        <f>ROUND(AA1133/(AA$1113+AA$1115+AA$1117+AA$1119+AA$1121+AA$1125+AA$1127+AA$1129+AA$1131+AA$1133+AA$1135),3)</f>
        <v>#DIV/0!</v>
      </c>
      <c r="AB1134" s="190"/>
      <c r="AC1134" s="188" t="e">
        <f>ROUND(AC1133/(AC$1113+AC$1115+AC$1117+AC$1119+AC$1121+AC$1125+AC$1127+AC$1129+AC$1131+AC$1133+AC$1135),3)</f>
        <v>#DIV/0!</v>
      </c>
      <c r="AD1134" s="191"/>
      <c r="AE1134" s="192" t="e">
        <f>ROUND(AE1133/(AE$1113+AE$1115+AE$1117+AE$1119+AE$1121+AE$1125+AE$1127+AE$1129+AE$1131+AE$1133+AE$1135),3)</f>
        <v>#DIV/0!</v>
      </c>
      <c r="AF1134" s="331"/>
      <c r="AG1134" s="389"/>
      <c r="AH1134" s="189"/>
      <c r="AI1134" s="389"/>
      <c r="AJ1134" s="191"/>
      <c r="AK1134" s="389"/>
      <c r="AL1134" s="191"/>
      <c r="AM1134" s="391"/>
      <c r="AN1134" s="323"/>
      <c r="AO1134" s="393"/>
    </row>
    <row r="1135" spans="2:41" x14ac:dyDescent="0.15">
      <c r="C1135" s="418"/>
      <c r="D1135" s="400"/>
      <c r="E1135" s="403"/>
      <c r="F1135" s="403"/>
      <c r="G1135" s="403"/>
      <c r="H1135" s="403"/>
      <c r="I1135" s="404"/>
      <c r="J1135" s="327"/>
      <c r="K1135" s="188" t="e">
        <f>ROUND(K1134/K$1152,3)</f>
        <v>#DIV/0!</v>
      </c>
      <c r="L1135" s="328"/>
      <c r="M1135" s="188">
        <f>ROUND(M1134/M$1152,3)</f>
        <v>6.0999999999999999E-2</v>
      </c>
      <c r="N1135" s="327"/>
      <c r="O1135" s="188" t="e">
        <f>ROUND(O1134/O$1152,3)</f>
        <v>#DIV/0!</v>
      </c>
      <c r="P1135" s="328"/>
      <c r="Q1135" s="188">
        <f>ROUND(Q1134/Q$1152,3)</f>
        <v>6.0999999999999999E-2</v>
      </c>
      <c r="R1135" s="328"/>
      <c r="S1135" s="101"/>
      <c r="W1135" s="383" t="s">
        <v>301</v>
      </c>
      <c r="X1135" s="201"/>
      <c r="Y1135" s="179">
        <f>AA1135+AC1135+AE1135</f>
        <v>0</v>
      </c>
      <c r="Z1135" s="202"/>
      <c r="AA1135" s="57">
        <v>0</v>
      </c>
      <c r="AB1135" s="203"/>
      <c r="AC1135" s="182">
        <v>0</v>
      </c>
      <c r="AD1135" s="183"/>
      <c r="AE1135" s="184">
        <v>0</v>
      </c>
      <c r="AF1135" s="100"/>
      <c r="AG1135" s="388" t="s">
        <v>41</v>
      </c>
      <c r="AH1135" s="319"/>
      <c r="AI1135" s="388" t="s">
        <v>41</v>
      </c>
      <c r="AJ1135" s="320"/>
      <c r="AK1135" s="388" t="s">
        <v>41</v>
      </c>
      <c r="AL1135" s="198"/>
      <c r="AM1135" s="390" t="s">
        <v>41</v>
      </c>
      <c r="AN1135" s="322"/>
      <c r="AO1135" s="392" t="s">
        <v>41</v>
      </c>
    </row>
    <row r="1136" spans="2:41" ht="14.25" customHeight="1" thickBot="1" x14ac:dyDescent="0.2">
      <c r="C1136" s="418"/>
      <c r="D1136" s="410"/>
      <c r="E1136" s="401" t="s">
        <v>390</v>
      </c>
      <c r="F1136" s="401"/>
      <c r="G1136" s="401"/>
      <c r="H1136" s="401"/>
      <c r="I1136" s="402"/>
      <c r="J1136" s="324">
        <v>5</v>
      </c>
      <c r="K1136" s="325">
        <v>62</v>
      </c>
      <c r="L1136" s="326">
        <v>1</v>
      </c>
      <c r="M1136" s="179">
        <v>12</v>
      </c>
      <c r="N1136" s="324">
        <v>5</v>
      </c>
      <c r="O1136" s="325">
        <v>62</v>
      </c>
      <c r="P1136" s="326">
        <v>1</v>
      </c>
      <c r="Q1136" s="179">
        <v>12</v>
      </c>
      <c r="R1136" s="326">
        <v>5</v>
      </c>
      <c r="S1136" s="100"/>
      <c r="W1136" s="383"/>
      <c r="X1136" s="239"/>
      <c r="Y1136" s="240" t="e">
        <f>ROUND(Y1135/(Y$1113+Y$1115+Y$1117+Y$1119+Y$1121+Y$1125+Y$1127+Y$1129+Y$1131+Y$1133+Y$1135),3)</f>
        <v>#DIV/0!</v>
      </c>
      <c r="Z1136" s="241"/>
      <c r="AA1136" s="240" t="e">
        <f>ROUND(AA1135/(AA$1113+AA$1115+AA$1117+AA$1119+AA$1121+AA$1125+AA$1127+AA$1129+AA$1131+AA$1133+AA$1135),3)</f>
        <v>#DIV/0!</v>
      </c>
      <c r="AB1136" s="332"/>
      <c r="AC1136" s="240" t="e">
        <f>ROUND(AC1135/(AC$1113+AC$1115+AC$1117+AC$1119+AC$1121+AC$1125+AC$1127+AC$1129+AC$1131+AC$1133+AC$1135),3)</f>
        <v>#DIV/0!</v>
      </c>
      <c r="AD1136" s="243"/>
      <c r="AE1136" s="244" t="e">
        <f>ROUND(AE1135/(AE$1113+AE$1115+AE$1117+AE$1119+AE$1121+AE$1125+AE$1127+AE$1129+AE$1131+AE$1133+AE$1135),3)</f>
        <v>#DIV/0!</v>
      </c>
      <c r="AF1136" s="331"/>
      <c r="AG1136" s="389"/>
      <c r="AH1136" s="189"/>
      <c r="AI1136" s="389"/>
      <c r="AJ1136" s="191"/>
      <c r="AK1136" s="389"/>
      <c r="AL1136" s="191"/>
      <c r="AM1136" s="391"/>
      <c r="AN1136" s="323"/>
      <c r="AO1136" s="393"/>
    </row>
    <row r="1137" spans="3:41" x14ac:dyDescent="0.15">
      <c r="C1137" s="418"/>
      <c r="D1137" s="400"/>
      <c r="E1137" s="403"/>
      <c r="F1137" s="403"/>
      <c r="G1137" s="403"/>
      <c r="H1137" s="403"/>
      <c r="I1137" s="404"/>
      <c r="J1137" s="327"/>
      <c r="K1137" s="188" t="e">
        <f>ROUND(K1136/K$1152,3)</f>
        <v>#DIV/0!</v>
      </c>
      <c r="L1137" s="328"/>
      <c r="M1137" s="188">
        <f>ROUND(M1136/M$1152,3)</f>
        <v>0.182</v>
      </c>
      <c r="N1137" s="327"/>
      <c r="O1137" s="188" t="e">
        <f>ROUND(O1136/O$1152,3)</f>
        <v>#DIV/0!</v>
      </c>
      <c r="P1137" s="328"/>
      <c r="Q1137" s="188">
        <f>ROUND(Q1136/Q$1152,3)</f>
        <v>0.182</v>
      </c>
      <c r="R1137" s="328"/>
      <c r="S1137" s="101"/>
    </row>
    <row r="1138" spans="3:41" ht="13.5" customHeight="1" x14ac:dyDescent="0.15">
      <c r="C1138" s="418"/>
      <c r="D1138" s="410"/>
      <c r="E1138" s="401" t="s">
        <v>391</v>
      </c>
      <c r="F1138" s="401"/>
      <c r="G1138" s="401"/>
      <c r="H1138" s="401"/>
      <c r="I1138" s="402"/>
      <c r="J1138" s="324">
        <v>6</v>
      </c>
      <c r="K1138" s="325">
        <v>38</v>
      </c>
      <c r="L1138" s="326">
        <v>4</v>
      </c>
      <c r="M1138" s="179">
        <v>5</v>
      </c>
      <c r="N1138" s="324">
        <v>6</v>
      </c>
      <c r="O1138" s="325">
        <v>38</v>
      </c>
      <c r="P1138" s="326">
        <v>4</v>
      </c>
      <c r="Q1138" s="179">
        <v>5</v>
      </c>
      <c r="R1138" s="326">
        <v>7</v>
      </c>
      <c r="S1138" s="100"/>
    </row>
    <row r="1139" spans="3:41" ht="14.25" thickBot="1" x14ac:dyDescent="0.2">
      <c r="C1139" s="418"/>
      <c r="D1139" s="400"/>
      <c r="E1139" s="403"/>
      <c r="F1139" s="403"/>
      <c r="G1139" s="403"/>
      <c r="H1139" s="403"/>
      <c r="I1139" s="404"/>
      <c r="J1139" s="327"/>
      <c r="K1139" s="188" t="e">
        <f>ROUND(K1138/K$1152,3)</f>
        <v>#DIV/0!</v>
      </c>
      <c r="L1139" s="328"/>
      <c r="M1139" s="188">
        <f>ROUND(M1138/M$1152,3)</f>
        <v>7.5999999999999998E-2</v>
      </c>
      <c r="N1139" s="327"/>
      <c r="O1139" s="188" t="e">
        <f>ROUND(O1138/O$1152,3)</f>
        <v>#DIV/0!</v>
      </c>
      <c r="P1139" s="328"/>
      <c r="Q1139" s="188">
        <f>ROUND(Q1138/Q$1152,3)</f>
        <v>7.5999999999999998E-2</v>
      </c>
      <c r="R1139" s="328"/>
      <c r="S1139" s="101"/>
      <c r="W1139" s="174" t="s">
        <v>392</v>
      </c>
      <c r="X1139" s="2"/>
      <c r="Y1139" s="2"/>
      <c r="Z1139" s="2"/>
      <c r="AA1139" s="2"/>
      <c r="AB1139" s="2"/>
      <c r="AC1139" s="11"/>
      <c r="AD1139" s="2"/>
      <c r="AE1139" s="2"/>
      <c r="AF1139" s="2"/>
      <c r="AG1139" s="2"/>
      <c r="AH1139" s="2"/>
      <c r="AI1139" s="2"/>
      <c r="AJ1139" s="2"/>
      <c r="AK1139" s="2"/>
      <c r="AL1139" s="2"/>
      <c r="AM1139" s="2"/>
      <c r="AN1139" s="146"/>
    </row>
    <row r="1140" spans="3:41" ht="13.5" customHeight="1" x14ac:dyDescent="0.15">
      <c r="C1140" s="418"/>
      <c r="D1140" s="410"/>
      <c r="E1140" s="401" t="s">
        <v>393</v>
      </c>
      <c r="F1140" s="401"/>
      <c r="G1140" s="401"/>
      <c r="H1140" s="401"/>
      <c r="I1140" s="402"/>
      <c r="J1140" s="324">
        <v>7</v>
      </c>
      <c r="K1140" s="325">
        <v>35</v>
      </c>
      <c r="L1140" s="326">
        <v>7</v>
      </c>
      <c r="M1140" s="179">
        <v>2</v>
      </c>
      <c r="N1140" s="324">
        <v>7</v>
      </c>
      <c r="O1140" s="325">
        <v>35</v>
      </c>
      <c r="P1140" s="326">
        <v>7</v>
      </c>
      <c r="Q1140" s="179">
        <v>2</v>
      </c>
      <c r="R1140" s="326">
        <v>6</v>
      </c>
      <c r="S1140" s="100"/>
      <c r="W1140" s="2"/>
      <c r="X1140" s="175"/>
      <c r="Y1140" s="384" t="s">
        <v>273</v>
      </c>
      <c r="Z1140" s="384"/>
      <c r="AA1140" s="384"/>
      <c r="AB1140" s="384"/>
      <c r="AC1140" s="384"/>
      <c r="AD1140" s="384"/>
      <c r="AE1140" s="385"/>
      <c r="AF1140" s="197"/>
      <c r="AG1140" s="422"/>
      <c r="AH1140" s="422"/>
      <c r="AI1140" s="422"/>
      <c r="AJ1140" s="422"/>
      <c r="AK1140" s="422"/>
      <c r="AL1140" s="422"/>
      <c r="AM1140" s="422"/>
      <c r="AN1140" s="419"/>
      <c r="AO1140" s="419"/>
    </row>
    <row r="1141" spans="3:41" x14ac:dyDescent="0.15">
      <c r="C1141" s="418"/>
      <c r="D1141" s="400"/>
      <c r="E1141" s="403"/>
      <c r="F1141" s="403"/>
      <c r="G1141" s="403"/>
      <c r="H1141" s="403"/>
      <c r="I1141" s="404"/>
      <c r="J1141" s="327"/>
      <c r="K1141" s="188" t="e">
        <f>ROUND(K1140/K$1152,3)</f>
        <v>#DIV/0!</v>
      </c>
      <c r="L1141" s="328"/>
      <c r="M1141" s="188">
        <f>ROUND(M1140/M$1152,3)</f>
        <v>0.03</v>
      </c>
      <c r="N1141" s="327"/>
      <c r="O1141" s="188" t="e">
        <f>ROUND(O1140/O$1152,3)</f>
        <v>#DIV/0!</v>
      </c>
      <c r="P1141" s="328"/>
      <c r="Q1141" s="188">
        <f>ROUND(Q1140/Q$1152,3)</f>
        <v>0.03</v>
      </c>
      <c r="R1141" s="328"/>
      <c r="S1141" s="101"/>
      <c r="W1141" s="2"/>
      <c r="X1141" s="110"/>
      <c r="Y1141" s="19"/>
      <c r="Z1141" s="394" t="s">
        <v>29</v>
      </c>
      <c r="AA1141" s="394"/>
      <c r="AB1141" s="408" t="s">
        <v>30</v>
      </c>
      <c r="AC1141" s="396"/>
      <c r="AD1141" s="376" t="s">
        <v>31</v>
      </c>
      <c r="AE1141" s="409"/>
      <c r="AF1141" s="197"/>
      <c r="AG1141" s="100"/>
      <c r="AH1141" s="421"/>
      <c r="AI1141" s="421"/>
      <c r="AJ1141" s="420"/>
      <c r="AK1141" s="420"/>
      <c r="AL1141" s="421"/>
      <c r="AM1141" s="421"/>
      <c r="AN1141" s="419"/>
      <c r="AO1141" s="419"/>
    </row>
    <row r="1142" spans="3:41" ht="13.5" customHeight="1" x14ac:dyDescent="0.15">
      <c r="C1142" s="418"/>
      <c r="D1142" s="410"/>
      <c r="E1142" s="401" t="s">
        <v>394</v>
      </c>
      <c r="F1142" s="401"/>
      <c r="G1142" s="401"/>
      <c r="H1142" s="401"/>
      <c r="I1142" s="402"/>
      <c r="J1142" s="324">
        <v>8</v>
      </c>
      <c r="K1142" s="325">
        <v>25</v>
      </c>
      <c r="L1142" s="333" t="s">
        <v>395</v>
      </c>
      <c r="M1142" s="179">
        <v>0</v>
      </c>
      <c r="N1142" s="324">
        <v>8</v>
      </c>
      <c r="O1142" s="325">
        <v>25</v>
      </c>
      <c r="P1142" s="333" t="s">
        <v>395</v>
      </c>
      <c r="Q1142" s="179">
        <v>0</v>
      </c>
      <c r="R1142" s="326">
        <v>10</v>
      </c>
      <c r="S1142" s="100"/>
      <c r="W1142" s="380" t="s">
        <v>396</v>
      </c>
      <c r="X1142" s="145"/>
      <c r="Y1142" s="179">
        <f>AA1142+AC1142+AE1142</f>
        <v>0</v>
      </c>
      <c r="Z1142" s="180"/>
      <c r="AA1142" s="57">
        <v>0</v>
      </c>
      <c r="AB1142" s="221"/>
      <c r="AC1142" s="182">
        <v>0</v>
      </c>
      <c r="AD1142" s="183"/>
      <c r="AE1142" s="184">
        <v>0</v>
      </c>
      <c r="AF1142" s="197"/>
      <c r="AG1142" s="417"/>
      <c r="AH1142" s="100"/>
      <c r="AI1142" s="417"/>
      <c r="AJ1142" s="178"/>
      <c r="AK1142" s="417"/>
      <c r="AL1142" s="102"/>
      <c r="AM1142" s="417"/>
      <c r="AN1142" s="187"/>
      <c r="AO1142" s="419"/>
    </row>
    <row r="1143" spans="3:41" x14ac:dyDescent="0.15">
      <c r="C1143" s="418"/>
      <c r="D1143" s="400"/>
      <c r="E1143" s="403"/>
      <c r="F1143" s="403"/>
      <c r="G1143" s="403"/>
      <c r="H1143" s="403"/>
      <c r="I1143" s="404"/>
      <c r="J1143" s="327"/>
      <c r="K1143" s="188" t="e">
        <f>ROUND(K1142/K$1152,3)</f>
        <v>#DIV/0!</v>
      </c>
      <c r="L1143" s="328"/>
      <c r="M1143" s="188">
        <f>ROUND(M1142/M$1152,3)</f>
        <v>0</v>
      </c>
      <c r="N1143" s="327"/>
      <c r="O1143" s="188" t="e">
        <f>ROUND(O1142/O$1152,3)</f>
        <v>#DIV/0!</v>
      </c>
      <c r="P1143" s="328"/>
      <c r="Q1143" s="188">
        <f>ROUND(Q1142/Q$1152,3)</f>
        <v>0</v>
      </c>
      <c r="R1143" s="328"/>
      <c r="S1143" s="101"/>
      <c r="W1143" s="380"/>
      <c r="X1143" s="110"/>
      <c r="Y1143" s="188" t="e">
        <f>ROUND(Y1142/(Y$1142+Y$1144+Y$1146+Y$1148+Y$1150+Y$1152+Y$1154+Y$1156),3)</f>
        <v>#DIV/0!</v>
      </c>
      <c r="Z1143" s="189"/>
      <c r="AA1143" s="188" t="e">
        <f>ROUND(AA1142/(AA$1142+AA$1144+AA$1146+AA$1148+AA$1150+AA$1152+AA$1154+AA$1156),3)</f>
        <v>#DIV/0!</v>
      </c>
      <c r="AB1143" s="159"/>
      <c r="AC1143" s="188" t="e">
        <f>ROUND(AC1142/(AC$1142+AC$1144+AC$1146+AC$1148+AC$1150+AC$1152+AC$1154+AC$1156),3)</f>
        <v>#DIV/0!</v>
      </c>
      <c r="AD1143" s="191"/>
      <c r="AE1143" s="192" t="e">
        <f>ROUND(AE1142/(AE$1142+AE$1144+AE$1146+AE$1148+AE$1150+AE$1152+AE$1154+AE$1156),3)</f>
        <v>#DIV/0!</v>
      </c>
      <c r="AF1143" s="197"/>
      <c r="AG1143" s="417"/>
      <c r="AH1143" s="101"/>
      <c r="AI1143" s="417"/>
      <c r="AJ1143" s="78"/>
      <c r="AK1143" s="417"/>
      <c r="AL1143" s="78"/>
      <c r="AM1143" s="417"/>
      <c r="AN1143" s="187"/>
      <c r="AO1143" s="419"/>
    </row>
    <row r="1144" spans="3:41" ht="13.5" customHeight="1" x14ac:dyDescent="0.15">
      <c r="C1144" s="418"/>
      <c r="D1144" s="410"/>
      <c r="E1144" s="401" t="s">
        <v>397</v>
      </c>
      <c r="F1144" s="401"/>
      <c r="G1144" s="401"/>
      <c r="H1144" s="401"/>
      <c r="I1144" s="402"/>
      <c r="J1144" s="324">
        <v>9</v>
      </c>
      <c r="K1144" s="325">
        <v>24</v>
      </c>
      <c r="L1144" s="326">
        <v>7</v>
      </c>
      <c r="M1144" s="179">
        <v>2</v>
      </c>
      <c r="N1144" s="324">
        <v>9</v>
      </c>
      <c r="O1144" s="325">
        <v>24</v>
      </c>
      <c r="P1144" s="326">
        <v>7</v>
      </c>
      <c r="Q1144" s="179">
        <v>2</v>
      </c>
      <c r="R1144" s="326">
        <v>8</v>
      </c>
      <c r="S1144" s="100"/>
      <c r="W1144" s="224" t="s">
        <v>305</v>
      </c>
      <c r="X1144" s="145"/>
      <c r="Y1144" s="179">
        <f>AA1144+AC1144+AE1144</f>
        <v>0</v>
      </c>
      <c r="Z1144" s="180"/>
      <c r="AA1144" s="57">
        <v>0</v>
      </c>
      <c r="AB1144" s="221"/>
      <c r="AC1144" s="182">
        <v>0</v>
      </c>
      <c r="AD1144" s="183"/>
      <c r="AE1144" s="184">
        <v>0</v>
      </c>
      <c r="AF1144" s="197"/>
      <c r="AG1144" s="102"/>
      <c r="AH1144" s="100"/>
      <c r="AI1144" s="102"/>
      <c r="AJ1144" s="178"/>
      <c r="AK1144" s="102"/>
      <c r="AL1144" s="102"/>
      <c r="AM1144" s="102"/>
      <c r="AN1144" s="187"/>
      <c r="AO1144" s="102"/>
    </row>
    <row r="1145" spans="3:41" x14ac:dyDescent="0.15">
      <c r="C1145" s="418"/>
      <c r="D1145" s="400"/>
      <c r="E1145" s="403"/>
      <c r="F1145" s="403"/>
      <c r="G1145" s="403"/>
      <c r="H1145" s="403"/>
      <c r="I1145" s="404"/>
      <c r="J1145" s="327"/>
      <c r="K1145" s="188" t="e">
        <f>ROUND(K1144/K$1152,3)</f>
        <v>#DIV/0!</v>
      </c>
      <c r="L1145" s="328"/>
      <c r="M1145" s="188">
        <f>ROUND(M1144/M$1152,3)</f>
        <v>0.03</v>
      </c>
      <c r="N1145" s="327"/>
      <c r="O1145" s="188" t="e">
        <f>ROUND(O1144/O$1152,3)</f>
        <v>#DIV/0!</v>
      </c>
      <c r="P1145" s="328"/>
      <c r="Q1145" s="188">
        <f>ROUND(Q1144/Q$1152,3)</f>
        <v>0.03</v>
      </c>
      <c r="R1145" s="328"/>
      <c r="S1145" s="101"/>
      <c r="W1145" s="225" t="s">
        <v>398</v>
      </c>
      <c r="X1145" s="110"/>
      <c r="Y1145" s="188" t="e">
        <f>ROUND(Y1144/(Y$1142+Y$1144+Y$1146+Y$1148+Y$1150+Y$1152+Y$1154+Y$1156),3)</f>
        <v>#DIV/0!</v>
      </c>
      <c r="Z1145" s="189"/>
      <c r="AA1145" s="188" t="e">
        <f>ROUND(AA1144/(AA$1142+AA$1144+AA$1146+AA$1148+AA$1150+AA$1152+AA$1154+AA$1156),3)</f>
        <v>#DIV/0!</v>
      </c>
      <c r="AB1145" s="159"/>
      <c r="AC1145" s="188" t="e">
        <f>ROUND(AC1144/(AC$1142+AC$1144+AC$1146+AC$1148+AC$1150+AC$1152+AC$1154+AC$1156),3)</f>
        <v>#DIV/0!</v>
      </c>
      <c r="AD1145" s="191"/>
      <c r="AE1145" s="192" t="e">
        <f>ROUND(AE1144/(AE$1142+AE$1144+AE$1146+AE$1148+AE$1150+AE$1152+AE$1154+AE$1156),3)</f>
        <v>#DIV/0!</v>
      </c>
      <c r="AF1145" s="197"/>
      <c r="AG1145" s="78"/>
      <c r="AH1145" s="101"/>
      <c r="AI1145" s="78"/>
      <c r="AJ1145" s="78"/>
      <c r="AK1145" s="78"/>
      <c r="AL1145" s="78"/>
      <c r="AM1145" s="78"/>
      <c r="AN1145" s="177"/>
      <c r="AO1145" s="78"/>
    </row>
    <row r="1146" spans="3:41" ht="13.5" customHeight="1" x14ac:dyDescent="0.15">
      <c r="C1146" s="418"/>
      <c r="D1146" s="410"/>
      <c r="E1146" s="401" t="s">
        <v>399</v>
      </c>
      <c r="F1146" s="401"/>
      <c r="G1146" s="401"/>
      <c r="H1146" s="401"/>
      <c r="I1146" s="402"/>
      <c r="J1146" s="324">
        <v>10</v>
      </c>
      <c r="K1146" s="325">
        <v>22</v>
      </c>
      <c r="L1146" s="326">
        <v>7</v>
      </c>
      <c r="M1146" s="179">
        <v>2</v>
      </c>
      <c r="N1146" s="324">
        <v>10</v>
      </c>
      <c r="O1146" s="325">
        <v>22</v>
      </c>
      <c r="P1146" s="326">
        <v>7</v>
      </c>
      <c r="Q1146" s="179">
        <v>2</v>
      </c>
      <c r="R1146" s="326">
        <v>9</v>
      </c>
      <c r="S1146" s="100"/>
      <c r="W1146" s="227" t="s">
        <v>400</v>
      </c>
      <c r="X1146" s="145"/>
      <c r="Y1146" s="179">
        <f>AA1146+AC1146+AE1146</f>
        <v>0</v>
      </c>
      <c r="Z1146" s="180"/>
      <c r="AA1146" s="57">
        <v>0</v>
      </c>
      <c r="AB1146" s="221"/>
      <c r="AC1146" s="182">
        <v>0</v>
      </c>
      <c r="AD1146" s="183"/>
      <c r="AE1146" s="184">
        <v>0</v>
      </c>
      <c r="AF1146" s="197"/>
      <c r="AG1146" s="102"/>
      <c r="AH1146" s="100"/>
      <c r="AI1146" s="102"/>
      <c r="AJ1146" s="178"/>
      <c r="AK1146" s="102"/>
      <c r="AL1146" s="102"/>
      <c r="AM1146" s="102"/>
      <c r="AN1146" s="187"/>
      <c r="AO1146" s="102"/>
    </row>
    <row r="1147" spans="3:41" x14ac:dyDescent="0.15">
      <c r="C1147" s="418"/>
      <c r="D1147" s="400"/>
      <c r="E1147" s="403"/>
      <c r="F1147" s="403"/>
      <c r="G1147" s="403"/>
      <c r="H1147" s="403"/>
      <c r="I1147" s="404"/>
      <c r="J1147" s="327"/>
      <c r="K1147" s="188" t="e">
        <f>ROUND(K1146/K$1152,3)</f>
        <v>#DIV/0!</v>
      </c>
      <c r="L1147" s="328"/>
      <c r="M1147" s="188">
        <f>ROUND(M1146/M$1152,3)</f>
        <v>0.03</v>
      </c>
      <c r="N1147" s="327"/>
      <c r="O1147" s="188" t="e">
        <f>ROUND(O1146/O$1152,3)</f>
        <v>#DIV/0!</v>
      </c>
      <c r="P1147" s="328"/>
      <c r="Q1147" s="188">
        <f>ROUND(Q1146/Q$1152,3)</f>
        <v>0.03</v>
      </c>
      <c r="R1147" s="328"/>
      <c r="S1147" s="101"/>
      <c r="W1147" s="228" t="s">
        <v>401</v>
      </c>
      <c r="X1147" s="110"/>
      <c r="Y1147" s="188" t="e">
        <f>ROUND(Y1146/(Y$1142+Y$1144+Y$1146+Y$1148+Y$1150+Y$1152+Y$1154+Y$1156),3)</f>
        <v>#DIV/0!</v>
      </c>
      <c r="Z1147" s="189"/>
      <c r="AA1147" s="188" t="e">
        <f>ROUND(AA1146/(AA$1142+AA$1144+AA$1146+AA$1148+AA$1150+AA$1152+AA$1154+AA$1156),3)</f>
        <v>#DIV/0!</v>
      </c>
      <c r="AB1147" s="159"/>
      <c r="AC1147" s="188" t="e">
        <f>ROUND(AC1146/(AC$1142+AC$1144+AC$1146+AC$1148+AC$1150+AC$1152+AC$1154+AC$1156),3)</f>
        <v>#DIV/0!</v>
      </c>
      <c r="AD1147" s="191"/>
      <c r="AE1147" s="192" t="e">
        <f>ROUND(AE1146/(AE$1142+AE$1144+AE$1146+AE$1148+AE$1150+AE$1152+AE$1154+AE$1156),3)</f>
        <v>#DIV/0!</v>
      </c>
      <c r="AF1147" s="197"/>
      <c r="AG1147" s="78"/>
      <c r="AH1147" s="101"/>
      <c r="AI1147" s="78"/>
      <c r="AJ1147" s="78"/>
      <c r="AK1147" s="78"/>
      <c r="AL1147" s="78"/>
      <c r="AM1147" s="78"/>
      <c r="AN1147" s="177"/>
      <c r="AO1147" s="78"/>
    </row>
    <row r="1148" spans="3:41" ht="13.5" customHeight="1" x14ac:dyDescent="0.15">
      <c r="C1148" s="418"/>
      <c r="D1148" s="410"/>
      <c r="E1148" s="401" t="s">
        <v>402</v>
      </c>
      <c r="F1148" s="401"/>
      <c r="G1148" s="401"/>
      <c r="H1148" s="401"/>
      <c r="I1148" s="402"/>
      <c r="J1148" s="324">
        <v>11</v>
      </c>
      <c r="K1148" s="325">
        <v>14</v>
      </c>
      <c r="L1148" s="326">
        <v>10</v>
      </c>
      <c r="M1148" s="179">
        <v>1</v>
      </c>
      <c r="N1148" s="324">
        <v>11</v>
      </c>
      <c r="O1148" s="325">
        <v>14</v>
      </c>
      <c r="P1148" s="326">
        <v>10</v>
      </c>
      <c r="Q1148" s="179">
        <v>1</v>
      </c>
      <c r="R1148" s="326">
        <v>12</v>
      </c>
      <c r="S1148" s="100"/>
      <c r="W1148" s="195" t="s">
        <v>311</v>
      </c>
      <c r="X1148" s="145"/>
      <c r="Y1148" s="179">
        <f>AA1148+AC1148+AE1148</f>
        <v>0</v>
      </c>
      <c r="Z1148" s="180"/>
      <c r="AA1148" s="57">
        <v>0</v>
      </c>
      <c r="AB1148" s="221"/>
      <c r="AC1148" s="182">
        <v>0</v>
      </c>
      <c r="AD1148" s="183"/>
      <c r="AE1148" s="184">
        <v>0</v>
      </c>
      <c r="AF1148" s="197"/>
      <c r="AG1148" s="102"/>
      <c r="AH1148" s="100"/>
      <c r="AI1148" s="102"/>
      <c r="AJ1148" s="178"/>
      <c r="AK1148" s="102"/>
      <c r="AL1148" s="102"/>
      <c r="AM1148" s="102"/>
      <c r="AN1148" s="187"/>
      <c r="AO1148" s="102"/>
    </row>
    <row r="1149" spans="3:41" x14ac:dyDescent="0.15">
      <c r="C1149" s="418"/>
      <c r="D1149" s="400"/>
      <c r="E1149" s="403"/>
      <c r="F1149" s="403"/>
      <c r="G1149" s="403"/>
      <c r="H1149" s="403"/>
      <c r="I1149" s="404"/>
      <c r="J1149" s="327"/>
      <c r="K1149" s="188" t="e">
        <f>ROUND(K1148/K$1152,3)</f>
        <v>#DIV/0!</v>
      </c>
      <c r="L1149" s="328"/>
      <c r="M1149" s="188">
        <f>ROUND(M1148/M$1152,3)</f>
        <v>1.4999999999999999E-2</v>
      </c>
      <c r="N1149" s="327"/>
      <c r="O1149" s="188" t="e">
        <f>ROUND(O1148/O$1152,3)</f>
        <v>#DIV/0!</v>
      </c>
      <c r="P1149" s="328"/>
      <c r="Q1149" s="188">
        <f>ROUND(Q1148/Q$1152,3)</f>
        <v>1.4999999999999999E-2</v>
      </c>
      <c r="R1149" s="328"/>
      <c r="S1149" s="101"/>
      <c r="W1149" s="196" t="s">
        <v>403</v>
      </c>
      <c r="X1149" s="110"/>
      <c r="Y1149" s="188" t="e">
        <f>ROUND(Y1148/(Y$1142+Y$1144+Y$1146+Y$1148+Y$1150+Y$1152+Y$1154+Y$1156),3)</f>
        <v>#DIV/0!</v>
      </c>
      <c r="Z1149" s="189"/>
      <c r="AA1149" s="188" t="e">
        <f>ROUND(AA1148/(AA$1142+AA$1144+AA$1146+AA$1148+AA$1150+AA$1152+AA$1154+AA$1156),3)</f>
        <v>#DIV/0!</v>
      </c>
      <c r="AB1149" s="159"/>
      <c r="AC1149" s="188" t="e">
        <f>ROUND(AC1148/(AC$1142+AC$1144+AC$1146+AC$1148+AC$1150+AC$1152+AC$1154+AC$1156),3)</f>
        <v>#DIV/0!</v>
      </c>
      <c r="AD1149" s="191"/>
      <c r="AE1149" s="192" t="e">
        <f>ROUND(AE1148/(AE$1142+AE$1144+AE$1146+AE$1148+AE$1150+AE$1152+AE$1154+AE$1156),3)</f>
        <v>#DIV/0!</v>
      </c>
      <c r="AF1149" s="197"/>
      <c r="AG1149" s="78"/>
      <c r="AH1149" s="101"/>
      <c r="AI1149" s="78"/>
      <c r="AJ1149" s="78"/>
      <c r="AK1149" s="78"/>
      <c r="AL1149" s="78"/>
      <c r="AM1149" s="78"/>
      <c r="AN1149" s="177"/>
      <c r="AO1149" s="78"/>
    </row>
    <row r="1150" spans="3:41" ht="13.5" customHeight="1" x14ac:dyDescent="0.15">
      <c r="C1150" s="418"/>
      <c r="D1150" s="399"/>
      <c r="E1150" s="401" t="s">
        <v>404</v>
      </c>
      <c r="F1150" s="401"/>
      <c r="G1150" s="401"/>
      <c r="H1150" s="401"/>
      <c r="I1150" s="402"/>
      <c r="J1150" s="324">
        <v>12</v>
      </c>
      <c r="K1150" s="325">
        <v>12</v>
      </c>
      <c r="L1150" s="326">
        <v>10</v>
      </c>
      <c r="M1150" s="179">
        <v>1</v>
      </c>
      <c r="N1150" s="324">
        <v>12</v>
      </c>
      <c r="O1150" s="325">
        <v>12</v>
      </c>
      <c r="P1150" s="326">
        <v>10</v>
      </c>
      <c r="Q1150" s="179">
        <v>1</v>
      </c>
      <c r="R1150" s="326">
        <v>11</v>
      </c>
      <c r="S1150" s="100"/>
      <c r="W1150" s="224" t="s">
        <v>405</v>
      </c>
      <c r="X1150" s="197"/>
      <c r="Y1150" s="179">
        <f>AA1150+AC1150+AE1150</f>
        <v>0</v>
      </c>
      <c r="Z1150" s="198"/>
      <c r="AA1150" s="57">
        <v>0</v>
      </c>
      <c r="AB1150" s="221"/>
      <c r="AC1150" s="182">
        <v>0</v>
      </c>
      <c r="AD1150" s="183"/>
      <c r="AE1150" s="184">
        <v>0</v>
      </c>
      <c r="AF1150" s="197"/>
      <c r="AG1150" s="102"/>
      <c r="AH1150" s="78"/>
      <c r="AI1150" s="102"/>
      <c r="AJ1150" s="178"/>
      <c r="AK1150" s="102"/>
      <c r="AL1150" s="102"/>
      <c r="AM1150" s="102"/>
      <c r="AN1150" s="187"/>
      <c r="AO1150" s="102"/>
    </row>
    <row r="1151" spans="3:41" x14ac:dyDescent="0.15">
      <c r="C1151" s="418"/>
      <c r="D1151" s="400"/>
      <c r="E1151" s="403"/>
      <c r="F1151" s="403"/>
      <c r="G1151" s="403"/>
      <c r="H1151" s="403"/>
      <c r="I1151" s="404"/>
      <c r="J1151" s="327"/>
      <c r="K1151" s="188" t="e">
        <f>ROUND(K1150/K$1152,3)</f>
        <v>#DIV/0!</v>
      </c>
      <c r="L1151" s="328"/>
      <c r="M1151" s="188">
        <f>ROUND(M1150/M$1152,3)</f>
        <v>1.4999999999999999E-2</v>
      </c>
      <c r="N1151" s="327"/>
      <c r="O1151" s="188" t="e">
        <f>ROUND(O1150/O$1152,3)</f>
        <v>#DIV/0!</v>
      </c>
      <c r="P1151" s="328"/>
      <c r="Q1151" s="188">
        <f>ROUND(Q1150/Q$1152,3)</f>
        <v>1.4999999999999999E-2</v>
      </c>
      <c r="R1151" s="328"/>
      <c r="S1151" s="101"/>
      <c r="W1151" s="334" t="s">
        <v>406</v>
      </c>
      <c r="X1151" s="197"/>
      <c r="Y1151" s="188" t="e">
        <f>ROUND(Y1150/(Y$1142+Y$1144+Y$1146+Y$1148+Y$1150+Y$1152+Y$1154+Y$1156),3)</f>
        <v>#DIV/0!</v>
      </c>
      <c r="Z1151" s="189"/>
      <c r="AA1151" s="188" t="e">
        <f>ROUND(AA1150/(AA$1142+AA$1144+AA$1146+AA$1148+AA$1150+AA$1152+AA$1154+AA$1156),3)</f>
        <v>#DIV/0!</v>
      </c>
      <c r="AB1151" s="159"/>
      <c r="AC1151" s="188" t="e">
        <f>ROUND(AC1150/(AC$1142+AC$1144+AC$1146+AC$1148+AC$1150+AC$1152+AC$1154+AC$1156),3)</f>
        <v>#DIV/0!</v>
      </c>
      <c r="AD1151" s="191"/>
      <c r="AE1151" s="192" t="e">
        <f>ROUND(AE1150/(AE$1142+AE$1144+AE$1146+AE$1148+AE$1150+AE$1152+AE$1154+AE$1156),3)</f>
        <v>#DIV/0!</v>
      </c>
      <c r="AF1151" s="197"/>
      <c r="AG1151" s="78"/>
      <c r="AH1151" s="101"/>
      <c r="AI1151" s="78"/>
      <c r="AJ1151" s="78"/>
      <c r="AK1151" s="78"/>
      <c r="AL1151" s="78"/>
      <c r="AM1151" s="78"/>
      <c r="AN1151" s="177"/>
      <c r="AO1151" s="78"/>
    </row>
    <row r="1152" spans="3:41" x14ac:dyDescent="0.15">
      <c r="D1152" s="405" t="s">
        <v>333</v>
      </c>
      <c r="E1152" s="406"/>
      <c r="F1152" s="406"/>
      <c r="G1152" s="406"/>
      <c r="H1152" s="406"/>
      <c r="I1152" s="407"/>
      <c r="J1152" s="249"/>
      <c r="K1152" s="250">
        <f>SUM(M1213:R1213)</f>
        <v>0</v>
      </c>
      <c r="L1152" s="251"/>
      <c r="M1152" s="252">
        <v>66</v>
      </c>
      <c r="N1152" s="253"/>
      <c r="O1152" s="254">
        <f>SUM(Q1213:Z1213)</f>
        <v>0</v>
      </c>
      <c r="P1152" s="255"/>
      <c r="Q1152" s="256">
        <v>66</v>
      </c>
      <c r="R1152" s="255"/>
      <c r="S1152" s="257"/>
      <c r="W1152" s="235" t="s">
        <v>407</v>
      </c>
      <c r="X1152" s="201"/>
      <c r="Y1152" s="179">
        <f>AA1152+AC1152+AE1152</f>
        <v>0</v>
      </c>
      <c r="Z1152" s="202"/>
      <c r="AA1152" s="57">
        <v>0</v>
      </c>
      <c r="AB1152" s="236"/>
      <c r="AC1152" s="182">
        <v>0</v>
      </c>
      <c r="AD1152" s="183"/>
      <c r="AE1152" s="184">
        <v>0</v>
      </c>
      <c r="AF1152" s="238"/>
      <c r="AG1152" s="102"/>
      <c r="AH1152" s="52"/>
      <c r="AI1152" s="102"/>
      <c r="AJ1152" s="78"/>
      <c r="AK1152" s="102"/>
      <c r="AL1152" s="102"/>
      <c r="AM1152" s="102"/>
      <c r="AN1152" s="187"/>
      <c r="AO1152" s="102"/>
    </row>
    <row r="1153" spans="2:41" x14ac:dyDescent="0.15">
      <c r="D1153" s="405" t="s">
        <v>408</v>
      </c>
      <c r="E1153" s="406"/>
      <c r="F1153" s="406"/>
      <c r="G1153" s="406"/>
      <c r="H1153" s="406"/>
      <c r="I1153" s="407"/>
      <c r="J1153" s="335"/>
      <c r="K1153" s="250">
        <f>SUM(K1128,K1130,K1132,K1134,K1136,K1138,K1140,K1142,K1144,K1146,K1148,K1150)</f>
        <v>613</v>
      </c>
      <c r="L1153" s="251"/>
      <c r="M1153" s="252">
        <f>SUM(M1128,M1130,M1132,M1134,M1136,M1138,M1140,M1142,M1144,M1146,M1148,M1150)</f>
        <v>51</v>
      </c>
      <c r="N1153" s="336"/>
      <c r="O1153" s="254">
        <f>SUM(O1128,O1130,O1132,O1134,O1136,O1138,O1140,O1142,O1144,O1146,O1148,O1150)</f>
        <v>613</v>
      </c>
      <c r="P1153" s="255"/>
      <c r="Q1153" s="256">
        <f>SUM(Q1128,Q1130,Q1132,Q1134,Q1136,Q1138,Q1140,Q1142,Q1144,Q1146,Q1148,Q1150)</f>
        <v>51</v>
      </c>
      <c r="R1153" s="255"/>
      <c r="S1153" s="257"/>
      <c r="W1153" s="237" t="s">
        <v>409</v>
      </c>
      <c r="X1153" s="206"/>
      <c r="Y1153" s="188" t="e">
        <f>ROUND(Y1152/(Y$1142+Y$1144+Y$1146+Y$1148+Y$1150+Y$1152+Y$1154+Y$1156),3)</f>
        <v>#DIV/0!</v>
      </c>
      <c r="Z1153" s="189"/>
      <c r="AA1153" s="188" t="e">
        <f>ROUND(AA1152/(AA$1142+AA$1144+AA$1146+AA$1148+AA$1150+AA$1152+AA$1154+AA$1156),3)</f>
        <v>#DIV/0!</v>
      </c>
      <c r="AB1153" s="159"/>
      <c r="AC1153" s="188" t="e">
        <f>ROUND(AC1152/(AC$1142+AC$1144+AC$1146+AC$1148+AC$1150+AC$1152+AC$1154+AC$1156),3)</f>
        <v>#DIV/0!</v>
      </c>
      <c r="AD1153" s="191"/>
      <c r="AE1153" s="192" t="e">
        <f>ROUND(AE1152/(AE$1142+AE$1144+AE$1146+AE$1148+AE$1150+AE$1152+AE$1154+AE$1156),3)</f>
        <v>#DIV/0!</v>
      </c>
      <c r="AF1153" s="238"/>
      <c r="AG1153" s="78"/>
      <c r="AH1153" s="101"/>
      <c r="AI1153" s="78"/>
      <c r="AJ1153" s="78"/>
      <c r="AK1153" s="78"/>
      <c r="AL1153" s="78"/>
      <c r="AM1153" s="78"/>
      <c r="AN1153" s="177"/>
      <c r="AO1153" s="78"/>
    </row>
    <row r="1154" spans="2:41" x14ac:dyDescent="0.15">
      <c r="D1154" s="337"/>
      <c r="K1154" s="314" t="str">
        <f>IF(K1153=[1]★Ｈ２５入力表!CP797,"ok","NG")</f>
        <v>NG</v>
      </c>
      <c r="L1154" s="315"/>
      <c r="M1154" s="314" t="str">
        <f>IF(M1153=[1]★Ｈ２５入力表!CN796,"ok","NG")</f>
        <v>NG</v>
      </c>
      <c r="N1154" s="316"/>
      <c r="O1154" s="317" t="str">
        <f>IF(O1153=[1]★Ｈ２５入力表!CT797,"ok","NG")</f>
        <v>NG</v>
      </c>
      <c r="P1154" s="318"/>
      <c r="Q1154" s="317" t="str">
        <f>IF(Q1153=[1]★Ｈ２５入力表!CR796,"ok","NG")</f>
        <v>NG</v>
      </c>
      <c r="R1154" s="318"/>
      <c r="S1154" s="318"/>
      <c r="W1154" s="381" t="s">
        <v>318</v>
      </c>
      <c r="X1154" s="238"/>
      <c r="Y1154" s="179">
        <f>AA1154+AC1154+AE1154</f>
        <v>0</v>
      </c>
      <c r="Z1154" s="202"/>
      <c r="AA1154" s="57">
        <v>0</v>
      </c>
      <c r="AB1154" s="236"/>
      <c r="AC1154" s="182">
        <v>0</v>
      </c>
      <c r="AD1154" s="183"/>
      <c r="AE1154" s="184">
        <v>0</v>
      </c>
      <c r="AF1154" s="238"/>
      <c r="AG1154" s="102"/>
      <c r="AH1154" s="52"/>
      <c r="AI1154" s="102"/>
      <c r="AJ1154" s="78"/>
      <c r="AK1154" s="102"/>
      <c r="AL1154" s="102"/>
      <c r="AM1154" s="102"/>
      <c r="AN1154" s="187"/>
      <c r="AO1154" s="417"/>
    </row>
    <row r="1155" spans="2:41" x14ac:dyDescent="0.15">
      <c r="D1155" s="397" t="s">
        <v>410</v>
      </c>
      <c r="E1155" s="398"/>
      <c r="F1155" s="144"/>
      <c r="G1155" s="144"/>
      <c r="H1155" s="144"/>
      <c r="I1155" s="137"/>
      <c r="K1155" s="314"/>
      <c r="L1155" s="315"/>
      <c r="M1155" s="314"/>
      <c r="N1155" s="338"/>
      <c r="O1155" s="339"/>
      <c r="P1155" s="340"/>
      <c r="Q1155" s="339"/>
      <c r="R1155" s="340"/>
      <c r="S1155" s="340"/>
      <c r="W1155" s="382"/>
      <c r="X1155" s="238"/>
      <c r="Y1155" s="188" t="e">
        <f>ROUND(Y1154/(Y$1142+Y$1144+Y$1146+Y$1148+Y$1150+Y$1152+Y$1154+Y$1156),3)</f>
        <v>#DIV/0!</v>
      </c>
      <c r="Z1155" s="189"/>
      <c r="AA1155" s="188" t="e">
        <f>ROUND(AA1154/(AA$1142+AA$1144+AA$1146+AA$1148+AA$1150+AA$1152+AA$1154+AA$1156),3)</f>
        <v>#DIV/0!</v>
      </c>
      <c r="AB1155" s="159"/>
      <c r="AC1155" s="188" t="e">
        <f>ROUND(AC1154/(AC$1142+AC$1144+AC$1146+AC$1148+AC$1150+AC$1152+AC$1154+AC$1156),3)</f>
        <v>#DIV/0!</v>
      </c>
      <c r="AD1155" s="191"/>
      <c r="AE1155" s="192" t="e">
        <f>ROUND(AE1154/(AE$1142+AE$1144+AE$1146+AE$1148+AE$1150+AE$1152+AE$1154+AE$1156),3)</f>
        <v>#DIV/0!</v>
      </c>
      <c r="AF1155" s="238"/>
      <c r="AG1155" s="78"/>
      <c r="AH1155" s="101"/>
      <c r="AI1155" s="78"/>
      <c r="AJ1155" s="78"/>
      <c r="AK1155" s="78"/>
      <c r="AL1155" s="78"/>
      <c r="AM1155" s="78"/>
      <c r="AN1155" s="177"/>
      <c r="AO1155" s="417"/>
    </row>
    <row r="1156" spans="2:41" x14ac:dyDescent="0.15">
      <c r="D1156" s="341" t="s">
        <v>411</v>
      </c>
      <c r="E1156" s="147" t="s">
        <v>412</v>
      </c>
      <c r="F1156" s="100"/>
      <c r="G1156" s="100"/>
      <c r="H1156" s="100"/>
      <c r="I1156" s="342"/>
      <c r="K1156" s="314"/>
      <c r="L1156" s="315"/>
      <c r="M1156" s="314"/>
      <c r="N1156" s="338"/>
      <c r="O1156" s="339"/>
      <c r="P1156" s="340"/>
      <c r="Q1156" s="339"/>
      <c r="R1156" s="340"/>
      <c r="S1156" s="340"/>
      <c r="W1156" s="383" t="s">
        <v>301</v>
      </c>
      <c r="X1156" s="201"/>
      <c r="Y1156" s="179">
        <f>AA1156+AC1156+AE1156</f>
        <v>0</v>
      </c>
      <c r="Z1156" s="202"/>
      <c r="AA1156" s="57">
        <v>0</v>
      </c>
      <c r="AB1156" s="236"/>
      <c r="AC1156" s="182">
        <v>0</v>
      </c>
      <c r="AD1156" s="183"/>
      <c r="AE1156" s="184">
        <v>0</v>
      </c>
      <c r="AF1156" s="238"/>
      <c r="AG1156" s="102"/>
      <c r="AH1156" s="52"/>
      <c r="AI1156" s="102"/>
      <c r="AJ1156" s="78"/>
      <c r="AK1156" s="102"/>
      <c r="AL1156" s="102"/>
      <c r="AM1156" s="102"/>
      <c r="AN1156" s="187"/>
      <c r="AO1156" s="417"/>
    </row>
    <row r="1157" spans="2:41" ht="14.25" thickBot="1" x14ac:dyDescent="0.2">
      <c r="D1157" s="341" t="s">
        <v>411</v>
      </c>
      <c r="E1157" s="147" t="s">
        <v>413</v>
      </c>
      <c r="F1157" s="100"/>
      <c r="G1157" s="100"/>
      <c r="H1157" s="100"/>
      <c r="I1157" s="342"/>
      <c r="K1157" s="314"/>
      <c r="L1157" s="315"/>
      <c r="M1157" s="314"/>
      <c r="N1157" s="338"/>
      <c r="O1157" s="339"/>
      <c r="P1157" s="340"/>
      <c r="Q1157" s="339"/>
      <c r="R1157" s="340"/>
      <c r="S1157" s="340"/>
      <c r="W1157" s="383"/>
      <c r="X1157" s="239"/>
      <c r="Y1157" s="240" t="e">
        <f>ROUND(Y1156/(Y$1142+Y$1144+Y$1146+Y$1148+Y$1150+Y$1152+Y$1154+Y$1156),3)</f>
        <v>#DIV/0!</v>
      </c>
      <c r="Z1157" s="241"/>
      <c r="AA1157" s="240" t="e">
        <f>ROUND(AA1156/(AA$1142+AA$1144+AA$1146+AA$1148+AA$1150+AA$1152+AA$1154+AA$1156),3)</f>
        <v>#DIV/0!</v>
      </c>
      <c r="AB1157" s="242"/>
      <c r="AC1157" s="240" t="e">
        <f>ROUND(AC1156/(AC$1142+AC$1144+AC$1146+AC$1148+AC$1150+AC$1152+AC$1154+AC$1156),3)</f>
        <v>#DIV/0!</v>
      </c>
      <c r="AD1157" s="243"/>
      <c r="AE1157" s="244" t="e">
        <f>ROUND(AE1156/(AE$1142+AE$1144+AE$1146+AE$1148+AE$1150+AE$1152+AE$1154+AE$1156),3)</f>
        <v>#DIV/0!</v>
      </c>
      <c r="AF1157" s="238"/>
      <c r="AG1157" s="78"/>
      <c r="AH1157" s="101"/>
      <c r="AI1157" s="78"/>
      <c r="AJ1157" s="78"/>
      <c r="AK1157" s="78"/>
      <c r="AL1157" s="78"/>
      <c r="AM1157" s="78"/>
      <c r="AN1157" s="177"/>
      <c r="AO1157" s="417"/>
    </row>
    <row r="1158" spans="2:41" x14ac:dyDescent="0.15">
      <c r="D1158" s="341" t="s">
        <v>411</v>
      </c>
      <c r="E1158" s="147" t="s">
        <v>414</v>
      </c>
      <c r="F1158" s="100"/>
      <c r="G1158" s="100"/>
      <c r="H1158" s="100"/>
      <c r="I1158" s="342"/>
      <c r="K1158" s="314"/>
      <c r="L1158" s="315"/>
      <c r="M1158" s="314"/>
      <c r="N1158" s="338"/>
      <c r="O1158" s="339"/>
      <c r="P1158" s="340"/>
      <c r="Q1158" s="339"/>
      <c r="R1158" s="340"/>
      <c r="S1158" s="340"/>
    </row>
    <row r="1159" spans="2:41" x14ac:dyDescent="0.15">
      <c r="D1159" s="343" t="s">
        <v>411</v>
      </c>
      <c r="E1159" s="207" t="s">
        <v>415</v>
      </c>
      <c r="F1159" s="94"/>
      <c r="G1159" s="94"/>
      <c r="H1159" s="94"/>
      <c r="I1159" s="19"/>
      <c r="K1159" s="314"/>
      <c r="L1159" s="315"/>
      <c r="M1159" s="314"/>
      <c r="N1159" s="338"/>
      <c r="O1159" s="339"/>
      <c r="P1159" s="340"/>
      <c r="Q1159" s="339"/>
      <c r="R1159" s="340"/>
      <c r="S1159" s="340"/>
    </row>
    <row r="1160" spans="2:41" ht="14.25" thickBot="1" x14ac:dyDescent="0.2">
      <c r="W1160" s="174" t="s">
        <v>416</v>
      </c>
      <c r="X1160" s="2"/>
      <c r="Y1160" s="2"/>
      <c r="Z1160" s="2"/>
      <c r="AA1160" s="2"/>
      <c r="AB1160" s="2"/>
      <c r="AC1160" s="11"/>
      <c r="AD1160" s="2"/>
      <c r="AE1160" s="2"/>
    </row>
    <row r="1161" spans="2:41" x14ac:dyDescent="0.15">
      <c r="B1161" s="2" t="s">
        <v>417</v>
      </c>
      <c r="C1161" s="2" t="s">
        <v>418</v>
      </c>
      <c r="W1161" s="2"/>
      <c r="X1161" s="175"/>
      <c r="Y1161" s="384" t="s">
        <v>273</v>
      </c>
      <c r="Z1161" s="384"/>
      <c r="AA1161" s="384"/>
      <c r="AB1161" s="384"/>
      <c r="AC1161" s="384"/>
      <c r="AD1161" s="384"/>
      <c r="AE1161" s="385"/>
    </row>
    <row r="1162" spans="2:41" x14ac:dyDescent="0.15">
      <c r="D1162" s="411"/>
      <c r="E1162" s="412"/>
      <c r="F1162" s="412"/>
      <c r="G1162" s="412"/>
      <c r="H1162" s="412"/>
      <c r="I1162" s="413"/>
      <c r="J1162" s="399" t="s">
        <v>274</v>
      </c>
      <c r="K1162" s="386"/>
      <c r="L1162" s="386"/>
      <c r="M1162" s="386"/>
      <c r="N1162" s="386"/>
      <c r="O1162" s="386"/>
      <c r="P1162" s="386"/>
      <c r="Q1162" s="386"/>
      <c r="R1162" s="386"/>
      <c r="S1162" s="100"/>
      <c r="W1162" s="2"/>
      <c r="X1162" s="110"/>
      <c r="Y1162" s="19"/>
      <c r="Z1162" s="394" t="s">
        <v>29</v>
      </c>
      <c r="AA1162" s="394"/>
      <c r="AB1162" s="408" t="s">
        <v>30</v>
      </c>
      <c r="AC1162" s="396"/>
      <c r="AD1162" s="376" t="s">
        <v>31</v>
      </c>
      <c r="AE1162" s="409"/>
    </row>
    <row r="1163" spans="2:41" x14ac:dyDescent="0.15">
      <c r="D1163" s="414"/>
      <c r="E1163" s="415"/>
      <c r="F1163" s="415"/>
      <c r="G1163" s="415"/>
      <c r="H1163" s="415"/>
      <c r="I1163" s="416"/>
      <c r="J1163" s="230"/>
      <c r="K1163" s="19"/>
      <c r="L1163" s="394" t="s">
        <v>29</v>
      </c>
      <c r="M1163" s="394"/>
      <c r="N1163" s="230"/>
      <c r="O1163" s="19"/>
      <c r="P1163" s="394" t="s">
        <v>29</v>
      </c>
      <c r="Q1163" s="394"/>
      <c r="R1163" s="15" t="s">
        <v>31</v>
      </c>
      <c r="S1163" s="101"/>
      <c r="W1163" s="224" t="s">
        <v>419</v>
      </c>
      <c r="X1163" s="145"/>
      <c r="Y1163" s="179">
        <f>AA1163+AC1163+AE1163</f>
        <v>0</v>
      </c>
      <c r="Z1163" s="180"/>
      <c r="AA1163" s="57">
        <v>0</v>
      </c>
      <c r="AB1163" s="221"/>
      <c r="AC1163" s="182">
        <v>0</v>
      </c>
      <c r="AD1163" s="183"/>
      <c r="AE1163" s="184">
        <v>0</v>
      </c>
    </row>
    <row r="1164" spans="2:41" ht="13.5" customHeight="1" x14ac:dyDescent="0.15">
      <c r="D1164" s="399"/>
      <c r="E1164" s="401" t="s">
        <v>420</v>
      </c>
      <c r="F1164" s="401"/>
      <c r="G1164" s="401"/>
      <c r="H1164" s="401"/>
      <c r="I1164" s="402"/>
      <c r="J1164" s="324">
        <v>1</v>
      </c>
      <c r="K1164" s="344">
        <v>87</v>
      </c>
      <c r="L1164" s="181">
        <v>3</v>
      </c>
      <c r="M1164" s="344">
        <v>8</v>
      </c>
      <c r="N1164" s="324">
        <v>1</v>
      </c>
      <c r="O1164" s="344">
        <v>87</v>
      </c>
      <c r="P1164" s="181">
        <v>3</v>
      </c>
      <c r="Q1164" s="344">
        <v>8</v>
      </c>
      <c r="R1164" s="181">
        <v>2</v>
      </c>
      <c r="S1164" s="178"/>
      <c r="W1164" s="225" t="s">
        <v>421</v>
      </c>
      <c r="X1164" s="110"/>
      <c r="Y1164" s="188" t="e">
        <f>ROUND(Y1163/(Y$1163+Y$1165+Y$1167+Y$1169+Y$1171+Y$1173+Y$1175),3)</f>
        <v>#DIV/0!</v>
      </c>
      <c r="Z1164" s="189"/>
      <c r="AA1164" s="188" t="e">
        <f>ROUND(AA1163/(AA$1163+AA$1165+AA$1167+AA$1169+AA$1171+AA$1173+AA$1175),3)</f>
        <v>#DIV/0!</v>
      </c>
      <c r="AB1164" s="159"/>
      <c r="AC1164" s="188" t="e">
        <f>ROUND(AC1163/(AC$1163+AC$1165+AC$1167+AC$1169+AC$1171+AC$1173+AC$1175),3)</f>
        <v>#DIV/0!</v>
      </c>
      <c r="AD1164" s="191"/>
      <c r="AE1164" s="192" t="e">
        <f>ROUND(AE1163/(AE$1163+AE$1165+AE$1167+AE$1169+AE$1171+AE$1173+AE$1175),3)</f>
        <v>#DIV/0!</v>
      </c>
    </row>
    <row r="1165" spans="2:41" x14ac:dyDescent="0.15">
      <c r="D1165" s="400"/>
      <c r="E1165" s="403"/>
      <c r="F1165" s="403"/>
      <c r="G1165" s="403"/>
      <c r="H1165" s="403"/>
      <c r="I1165" s="404"/>
      <c r="J1165" s="327"/>
      <c r="K1165" s="188" t="e">
        <f>ROUND(K1164/K$1180,3)</f>
        <v>#DIV/0!</v>
      </c>
      <c r="L1165" s="190"/>
      <c r="M1165" s="188">
        <f>ROUND(M1164/M$1180,3)</f>
        <v>0.121</v>
      </c>
      <c r="N1165" s="327"/>
      <c r="O1165" s="188" t="e">
        <f>ROUND(O1164/O$1180,3)</f>
        <v>#DIV/0!</v>
      </c>
      <c r="P1165" s="190"/>
      <c r="Q1165" s="188">
        <f>ROUND(Q1164/Q$1180,3)</f>
        <v>0.121</v>
      </c>
      <c r="R1165" s="190"/>
      <c r="S1165" s="78"/>
      <c r="W1165" s="224" t="s">
        <v>422</v>
      </c>
      <c r="X1165" s="145"/>
      <c r="Y1165" s="179">
        <f>AA1165+AC1165+AE1165</f>
        <v>0</v>
      </c>
      <c r="Z1165" s="180"/>
      <c r="AA1165" s="57">
        <v>0</v>
      </c>
      <c r="AB1165" s="221"/>
      <c r="AC1165" s="182">
        <v>0</v>
      </c>
      <c r="AD1165" s="183"/>
      <c r="AE1165" s="184">
        <v>0</v>
      </c>
    </row>
    <row r="1166" spans="2:41" ht="13.5" customHeight="1" x14ac:dyDescent="0.15">
      <c r="D1166" s="399"/>
      <c r="E1166" s="401" t="s">
        <v>423</v>
      </c>
      <c r="F1166" s="401"/>
      <c r="G1166" s="401"/>
      <c r="H1166" s="401"/>
      <c r="I1166" s="402"/>
      <c r="J1166" s="324">
        <v>2</v>
      </c>
      <c r="K1166" s="344">
        <v>85</v>
      </c>
      <c r="L1166" s="181">
        <v>2</v>
      </c>
      <c r="M1166" s="344">
        <v>11</v>
      </c>
      <c r="N1166" s="324">
        <v>2</v>
      </c>
      <c r="O1166" s="344">
        <v>85</v>
      </c>
      <c r="P1166" s="181">
        <v>2</v>
      </c>
      <c r="Q1166" s="344">
        <v>11</v>
      </c>
      <c r="R1166" s="181">
        <v>1</v>
      </c>
      <c r="S1166" s="178"/>
      <c r="W1166" s="225" t="s">
        <v>424</v>
      </c>
      <c r="X1166" s="110"/>
      <c r="Y1166" s="188" t="e">
        <f>ROUND(Y1165/(Y$1163+Y$1165+Y$1167+Y$1169+Y$1171+Y$1173+Y$1175),3)</f>
        <v>#DIV/0!</v>
      </c>
      <c r="Z1166" s="189"/>
      <c r="AA1166" s="188" t="e">
        <f>ROUND(AA1165/(AA$1163+AA$1165+AA$1167+AA$1169+AA$1171+AA$1173+AA$1175),3)</f>
        <v>#DIV/0!</v>
      </c>
      <c r="AB1166" s="159"/>
      <c r="AC1166" s="188" t="e">
        <f>ROUND(AC1165/(AC$1163+AC$1165+AC$1167+AC$1169+AC$1171+AC$1173+AC$1175),3)</f>
        <v>#DIV/0!</v>
      </c>
      <c r="AD1166" s="191"/>
      <c r="AE1166" s="192" t="e">
        <f>ROUND(AE1165/(AE$1163+AE$1165+AE$1167+AE$1169+AE$1171+AE$1173+AE$1175),3)</f>
        <v>#DIV/0!</v>
      </c>
    </row>
    <row r="1167" spans="2:41" x14ac:dyDescent="0.15">
      <c r="D1167" s="410"/>
      <c r="E1167" s="403"/>
      <c r="F1167" s="403"/>
      <c r="G1167" s="403"/>
      <c r="H1167" s="403"/>
      <c r="I1167" s="404"/>
      <c r="J1167" s="327"/>
      <c r="K1167" s="188" t="e">
        <f>ROUND(K1166/K$1180,3)</f>
        <v>#DIV/0!</v>
      </c>
      <c r="L1167" s="190"/>
      <c r="M1167" s="188">
        <f>ROUND(M1166/M$1180,3)</f>
        <v>0.16700000000000001</v>
      </c>
      <c r="N1167" s="327"/>
      <c r="O1167" s="188" t="e">
        <f>ROUND(O1166/O$1180,3)</f>
        <v>#DIV/0!</v>
      </c>
      <c r="P1167" s="190"/>
      <c r="Q1167" s="188">
        <f>ROUND(Q1166/Q$1180,3)</f>
        <v>0.16700000000000001</v>
      </c>
      <c r="R1167" s="190"/>
      <c r="S1167" s="78"/>
      <c r="W1167" s="227" t="s">
        <v>425</v>
      </c>
      <c r="X1167" s="145"/>
      <c r="Y1167" s="179">
        <f>AA1167+AC1167+AE1167</f>
        <v>0</v>
      </c>
      <c r="Z1167" s="180"/>
      <c r="AA1167" s="57">
        <v>0</v>
      </c>
      <c r="AB1167" s="221"/>
      <c r="AC1167" s="182">
        <v>0</v>
      </c>
      <c r="AD1167" s="183"/>
      <c r="AE1167" s="184">
        <v>0</v>
      </c>
    </row>
    <row r="1168" spans="2:41" ht="13.5" customHeight="1" x14ac:dyDescent="0.15">
      <c r="D1168" s="399"/>
      <c r="E1168" s="401" t="s">
        <v>426</v>
      </c>
      <c r="F1168" s="401"/>
      <c r="G1168" s="401"/>
      <c r="H1168" s="401"/>
      <c r="I1168" s="402"/>
      <c r="J1168" s="324">
        <v>3</v>
      </c>
      <c r="K1168" s="344">
        <v>50</v>
      </c>
      <c r="L1168" s="181">
        <v>1</v>
      </c>
      <c r="M1168" s="344">
        <v>12</v>
      </c>
      <c r="N1168" s="324">
        <v>3</v>
      </c>
      <c r="O1168" s="344">
        <v>50</v>
      </c>
      <c r="P1168" s="181">
        <v>1</v>
      </c>
      <c r="Q1168" s="344">
        <v>12</v>
      </c>
      <c r="R1168" s="181">
        <v>3</v>
      </c>
      <c r="S1168" s="178"/>
      <c r="W1168" s="228" t="s">
        <v>427</v>
      </c>
      <c r="X1168" s="110"/>
      <c r="Y1168" s="188" t="e">
        <f>ROUND(Y1167/(Y$1163+Y$1165+Y$1167+Y$1169+Y$1171+Y$1173+Y$1175),3)</f>
        <v>#DIV/0!</v>
      </c>
      <c r="Z1168" s="189"/>
      <c r="AA1168" s="188" t="e">
        <f>ROUND(AA1167/(AA$1163+AA$1165+AA$1167+AA$1169+AA$1171+AA$1173+AA$1175),3)</f>
        <v>#DIV/0!</v>
      </c>
      <c r="AB1168" s="159"/>
      <c r="AC1168" s="188" t="e">
        <f>ROUND(AC1167/(AC$1163+AC$1165+AC$1167+AC$1169+AC$1171+AC$1173+AC$1175),3)</f>
        <v>#DIV/0!</v>
      </c>
      <c r="AD1168" s="191"/>
      <c r="AE1168" s="192" t="e">
        <f>ROUND(AE1167/(AE$1163+AE$1165+AE$1167+AE$1169+AE$1171+AE$1173+AE$1175),3)</f>
        <v>#DIV/0!</v>
      </c>
    </row>
    <row r="1169" spans="4:31" x14ac:dyDescent="0.15">
      <c r="D1169" s="410"/>
      <c r="E1169" s="403"/>
      <c r="F1169" s="403"/>
      <c r="G1169" s="403"/>
      <c r="H1169" s="403"/>
      <c r="I1169" s="404"/>
      <c r="J1169" s="327"/>
      <c r="K1169" s="188" t="e">
        <f>ROUND(K1168/K$1180,3)</f>
        <v>#DIV/0!</v>
      </c>
      <c r="L1169" s="190"/>
      <c r="M1169" s="188">
        <f>ROUND(M1168/M$1180,3)</f>
        <v>0.182</v>
      </c>
      <c r="N1169" s="327"/>
      <c r="O1169" s="188" t="e">
        <f>ROUND(O1168/O$1180,3)</f>
        <v>#DIV/0!</v>
      </c>
      <c r="P1169" s="190"/>
      <c r="Q1169" s="188">
        <f>ROUND(Q1168/Q$1180,3)</f>
        <v>0.182</v>
      </c>
      <c r="R1169" s="190"/>
      <c r="S1169" s="78"/>
      <c r="W1169" s="195" t="s">
        <v>428</v>
      </c>
      <c r="X1169" s="145"/>
      <c r="Y1169" s="179">
        <f>AA1169+AC1169+AE1169</f>
        <v>0</v>
      </c>
      <c r="Z1169" s="180"/>
      <c r="AA1169" s="57">
        <v>0</v>
      </c>
      <c r="AB1169" s="221"/>
      <c r="AC1169" s="182">
        <v>0</v>
      </c>
      <c r="AD1169" s="183"/>
      <c r="AE1169" s="184">
        <v>0</v>
      </c>
    </row>
    <row r="1170" spans="4:31" ht="13.5" customHeight="1" x14ac:dyDescent="0.15">
      <c r="D1170" s="399"/>
      <c r="E1170" s="401" t="s">
        <v>429</v>
      </c>
      <c r="F1170" s="401"/>
      <c r="G1170" s="401"/>
      <c r="H1170" s="401"/>
      <c r="I1170" s="402"/>
      <c r="J1170" s="324">
        <v>4</v>
      </c>
      <c r="K1170" s="344">
        <v>30</v>
      </c>
      <c r="L1170" s="181">
        <v>6</v>
      </c>
      <c r="M1170" s="344">
        <v>2</v>
      </c>
      <c r="N1170" s="324">
        <v>4</v>
      </c>
      <c r="O1170" s="344">
        <v>30</v>
      </c>
      <c r="P1170" s="181">
        <v>6</v>
      </c>
      <c r="Q1170" s="344">
        <v>2</v>
      </c>
      <c r="R1170" s="181">
        <v>5</v>
      </c>
      <c r="S1170" s="178"/>
      <c r="W1170" s="196" t="s">
        <v>430</v>
      </c>
      <c r="X1170" s="110"/>
      <c r="Y1170" s="188" t="e">
        <f>ROUND(Y1169/(Y$1163+Y$1165+Y$1167+Y$1169+Y$1171+Y$1173+Y$1175),3)</f>
        <v>#DIV/0!</v>
      </c>
      <c r="Z1170" s="189"/>
      <c r="AA1170" s="188" t="e">
        <f>ROUND(AA1169/(AA$1163+AA$1165+AA$1167+AA$1169+AA$1171+AA$1173+AA$1175),3)</f>
        <v>#DIV/0!</v>
      </c>
      <c r="AB1170" s="159"/>
      <c r="AC1170" s="188" t="e">
        <f>ROUND(AC1169/(AC$1163+AC$1165+AC$1167+AC$1169+AC$1171+AC$1173+AC$1175),3)</f>
        <v>#DIV/0!</v>
      </c>
      <c r="AD1170" s="191"/>
      <c r="AE1170" s="192" t="e">
        <f>ROUND(AE1169/(AE$1163+AE$1165+AE$1167+AE$1169+AE$1171+AE$1173+AE$1175),3)</f>
        <v>#DIV/0!</v>
      </c>
    </row>
    <row r="1171" spans="4:31" x14ac:dyDescent="0.15">
      <c r="D1171" s="410"/>
      <c r="E1171" s="403"/>
      <c r="F1171" s="403"/>
      <c r="G1171" s="403"/>
      <c r="H1171" s="403"/>
      <c r="I1171" s="404"/>
      <c r="J1171" s="327"/>
      <c r="K1171" s="188" t="e">
        <f>ROUND(K1170/K$1180,3)</f>
        <v>#DIV/0!</v>
      </c>
      <c r="L1171" s="190"/>
      <c r="M1171" s="188">
        <f>ROUND(M1170/M$1180,3)</f>
        <v>0.03</v>
      </c>
      <c r="N1171" s="327"/>
      <c r="O1171" s="188" t="e">
        <f>ROUND(O1170/O$1180,3)</f>
        <v>#DIV/0!</v>
      </c>
      <c r="P1171" s="190"/>
      <c r="Q1171" s="188">
        <f>ROUND(Q1170/Q$1180,3)</f>
        <v>0.03</v>
      </c>
      <c r="R1171" s="190"/>
      <c r="S1171" s="78"/>
      <c r="W1171" s="381" t="s">
        <v>431</v>
      </c>
      <c r="X1171" s="197"/>
      <c r="Y1171" s="179">
        <f>AA1171+AC1171+AE1171</f>
        <v>0</v>
      </c>
      <c r="Z1171" s="198"/>
      <c r="AA1171" s="57">
        <v>0</v>
      </c>
      <c r="AB1171" s="221"/>
      <c r="AC1171" s="182">
        <v>0</v>
      </c>
      <c r="AD1171" s="183"/>
      <c r="AE1171" s="184">
        <v>0</v>
      </c>
    </row>
    <row r="1172" spans="4:31" x14ac:dyDescent="0.15">
      <c r="D1172" s="399"/>
      <c r="E1172" s="401" t="s">
        <v>432</v>
      </c>
      <c r="F1172" s="401"/>
      <c r="G1172" s="401"/>
      <c r="H1172" s="401"/>
      <c r="I1172" s="402"/>
      <c r="J1172" s="324">
        <v>5</v>
      </c>
      <c r="K1172" s="344">
        <v>29</v>
      </c>
      <c r="L1172" s="181">
        <v>4</v>
      </c>
      <c r="M1172" s="344">
        <v>5</v>
      </c>
      <c r="N1172" s="324">
        <v>5</v>
      </c>
      <c r="O1172" s="344">
        <v>29</v>
      </c>
      <c r="P1172" s="181">
        <v>4</v>
      </c>
      <c r="Q1172" s="344">
        <v>5</v>
      </c>
      <c r="R1172" s="181">
        <v>6</v>
      </c>
      <c r="S1172" s="178"/>
      <c r="W1172" s="382"/>
      <c r="X1172" s="197"/>
      <c r="Y1172" s="188" t="e">
        <f>ROUND(Y1171/(Y$1163+Y$1165+Y$1167+Y$1169+Y$1171+Y$1173+Y$1175),3)</f>
        <v>#DIV/0!</v>
      </c>
      <c r="Z1172" s="189"/>
      <c r="AA1172" s="188" t="e">
        <f>ROUND(AA1171/(AA$1163+AA$1165+AA$1167+AA$1169+AA$1171+AA$1173+AA$1175),3)</f>
        <v>#DIV/0!</v>
      </c>
      <c r="AB1172" s="159"/>
      <c r="AC1172" s="188" t="e">
        <f>ROUND(AC1171/(AC$1163+AC$1165+AC$1167+AC$1169+AC$1171+AC$1173+AC$1175),3)</f>
        <v>#DIV/0!</v>
      </c>
      <c r="AD1172" s="191"/>
      <c r="AE1172" s="192" t="e">
        <f>ROUND(AE1171/(AE$1163+AE$1165+AE$1167+AE$1169+AE$1171+AE$1173+AE$1175),3)</f>
        <v>#DIV/0!</v>
      </c>
    </row>
    <row r="1173" spans="4:31" x14ac:dyDescent="0.15">
      <c r="D1173" s="410"/>
      <c r="E1173" s="403"/>
      <c r="F1173" s="403"/>
      <c r="G1173" s="403"/>
      <c r="H1173" s="403"/>
      <c r="I1173" s="404"/>
      <c r="J1173" s="327"/>
      <c r="K1173" s="188" t="e">
        <f>ROUND(K1172/K$1180,3)</f>
        <v>#DIV/0!</v>
      </c>
      <c r="L1173" s="190"/>
      <c r="M1173" s="188">
        <f>ROUND(M1172/M$1180,3)</f>
        <v>7.5999999999999998E-2</v>
      </c>
      <c r="N1173" s="327"/>
      <c r="O1173" s="188" t="e">
        <f>ROUND(O1172/O$1180,3)</f>
        <v>#DIV/0!</v>
      </c>
      <c r="P1173" s="190"/>
      <c r="Q1173" s="188">
        <f>ROUND(Q1172/Q$1180,3)</f>
        <v>7.5999999999999998E-2</v>
      </c>
      <c r="R1173" s="190"/>
      <c r="S1173" s="78"/>
      <c r="W1173" s="381" t="s">
        <v>318</v>
      </c>
      <c r="X1173" s="238"/>
      <c r="Y1173" s="179">
        <f>AA1173+AC1173+AE1173</f>
        <v>0</v>
      </c>
      <c r="Z1173" s="202"/>
      <c r="AA1173" s="57">
        <v>0</v>
      </c>
      <c r="AB1173" s="236"/>
      <c r="AC1173" s="182">
        <v>0</v>
      </c>
      <c r="AD1173" s="183"/>
      <c r="AE1173" s="184">
        <v>0</v>
      </c>
    </row>
    <row r="1174" spans="4:31" x14ac:dyDescent="0.15">
      <c r="D1174" s="399"/>
      <c r="E1174" s="401" t="s">
        <v>342</v>
      </c>
      <c r="F1174" s="401"/>
      <c r="G1174" s="401"/>
      <c r="H1174" s="401"/>
      <c r="I1174" s="402"/>
      <c r="J1174" s="324">
        <v>6</v>
      </c>
      <c r="K1174" s="344">
        <v>28</v>
      </c>
      <c r="L1174" s="181">
        <v>5</v>
      </c>
      <c r="M1174" s="344">
        <v>3</v>
      </c>
      <c r="N1174" s="324">
        <v>6</v>
      </c>
      <c r="O1174" s="344">
        <v>28</v>
      </c>
      <c r="P1174" s="181">
        <v>5</v>
      </c>
      <c r="Q1174" s="344">
        <v>3</v>
      </c>
      <c r="R1174" s="181">
        <v>4</v>
      </c>
      <c r="S1174" s="178"/>
      <c r="W1174" s="382"/>
      <c r="X1174" s="238"/>
      <c r="Y1174" s="188" t="e">
        <f>ROUND(Y1173/(Y$1163+Y$1165+Y$1167+Y$1169+Y$1171+Y$1173+Y$1175),3)</f>
        <v>#DIV/0!</v>
      </c>
      <c r="Z1174" s="189"/>
      <c r="AA1174" s="188" t="e">
        <f>ROUND(AA1173/(AA$1163+AA$1165+AA$1167+AA$1169+AA$1171+AA$1173+AA$1175),3)</f>
        <v>#DIV/0!</v>
      </c>
      <c r="AB1174" s="159"/>
      <c r="AC1174" s="188" t="e">
        <f>ROUND(AC1173/(AC$1163+AC$1165+AC$1167+AC$1169+AC$1171+AC$1173+AC$1175),3)</f>
        <v>#DIV/0!</v>
      </c>
      <c r="AD1174" s="191"/>
      <c r="AE1174" s="192" t="e">
        <f>ROUND(AE1173/(AE$1163+AE$1165+AE$1167+AE$1169+AE$1171+AE$1173+AE$1175),3)</f>
        <v>#DIV/0!</v>
      </c>
    </row>
    <row r="1175" spans="4:31" x14ac:dyDescent="0.15">
      <c r="D1175" s="410"/>
      <c r="E1175" s="403"/>
      <c r="F1175" s="403"/>
      <c r="G1175" s="403"/>
      <c r="H1175" s="403"/>
      <c r="I1175" s="404"/>
      <c r="J1175" s="327"/>
      <c r="K1175" s="188" t="e">
        <f>ROUND(K1174/K$1180,3)</f>
        <v>#DIV/0!</v>
      </c>
      <c r="L1175" s="190"/>
      <c r="M1175" s="188">
        <f>ROUND(M1174/M$1180,3)</f>
        <v>4.4999999999999998E-2</v>
      </c>
      <c r="N1175" s="327"/>
      <c r="O1175" s="188" t="e">
        <f>ROUND(O1174/O$1180,3)</f>
        <v>#DIV/0!</v>
      </c>
      <c r="P1175" s="190"/>
      <c r="Q1175" s="188">
        <f>ROUND(Q1174/Q$1180,3)</f>
        <v>4.4999999999999998E-2</v>
      </c>
      <c r="R1175" s="190"/>
      <c r="S1175" s="78"/>
      <c r="W1175" s="383" t="s">
        <v>301</v>
      </c>
      <c r="X1175" s="201"/>
      <c r="Y1175" s="179">
        <f>AA1175+AC1175+AE1175</f>
        <v>0</v>
      </c>
      <c r="Z1175" s="202"/>
      <c r="AA1175" s="57">
        <v>0</v>
      </c>
      <c r="AB1175" s="236"/>
      <c r="AC1175" s="182">
        <v>0</v>
      </c>
      <c r="AD1175" s="183"/>
      <c r="AE1175" s="184">
        <v>0</v>
      </c>
    </row>
    <row r="1176" spans="4:31" ht="14.25" thickBot="1" x14ac:dyDescent="0.2">
      <c r="D1176" s="399"/>
      <c r="E1176" s="401" t="s">
        <v>433</v>
      </c>
      <c r="F1176" s="401"/>
      <c r="G1176" s="401"/>
      <c r="H1176" s="401"/>
      <c r="I1176" s="402"/>
      <c r="J1176" s="324">
        <v>7</v>
      </c>
      <c r="K1176" s="344">
        <v>14</v>
      </c>
      <c r="L1176" s="181">
        <v>8</v>
      </c>
      <c r="M1176" s="344">
        <v>1</v>
      </c>
      <c r="N1176" s="324">
        <v>7</v>
      </c>
      <c r="O1176" s="344">
        <v>14</v>
      </c>
      <c r="P1176" s="181">
        <v>8</v>
      </c>
      <c r="Q1176" s="344">
        <v>1</v>
      </c>
      <c r="R1176" s="181">
        <v>7</v>
      </c>
      <c r="S1176" s="178"/>
      <c r="W1176" s="383"/>
      <c r="X1176" s="239"/>
      <c r="Y1176" s="240" t="e">
        <f>ROUND(Y1175/(Y$1163+Y$1165+Y$1167+Y$1169+Y$1171+Y$1173+Y$1175),3)</f>
        <v>#DIV/0!</v>
      </c>
      <c r="Z1176" s="241"/>
      <c r="AA1176" s="240" t="e">
        <f>ROUND(AA1175/(AA$1163+AA$1165+AA$1167+AA$1169+AA$1171+AA$1173+AA$1175),3)</f>
        <v>#DIV/0!</v>
      </c>
      <c r="AB1176" s="242"/>
      <c r="AC1176" s="240" t="e">
        <f>ROUND(AC1175/(AC$1163+AC$1165+AC$1167+AC$1169+AC$1171+AC$1173+AC$1175),3)</f>
        <v>#DIV/0!</v>
      </c>
      <c r="AD1176" s="243"/>
      <c r="AE1176" s="244" t="e">
        <f>ROUND(AE1175/(AE$1163+AE$1165+AE$1167+AE$1169+AE$1171+AE$1173+AE$1175),3)</f>
        <v>#DIV/0!</v>
      </c>
    </row>
    <row r="1177" spans="4:31" x14ac:dyDescent="0.15">
      <c r="D1177" s="410"/>
      <c r="E1177" s="403"/>
      <c r="F1177" s="403"/>
      <c r="G1177" s="403"/>
      <c r="H1177" s="403"/>
      <c r="I1177" s="404"/>
      <c r="J1177" s="327"/>
      <c r="K1177" s="188" t="e">
        <f>ROUND(K1176/K$1180,3)</f>
        <v>#DIV/0!</v>
      </c>
      <c r="L1177" s="190"/>
      <c r="M1177" s="188">
        <f>ROUND(M1176/M$1180,3)</f>
        <v>1.4999999999999999E-2</v>
      </c>
      <c r="N1177" s="327"/>
      <c r="O1177" s="188" t="e">
        <f>ROUND(O1176/O$1180,3)</f>
        <v>#DIV/0!</v>
      </c>
      <c r="P1177" s="190"/>
      <c r="Q1177" s="188">
        <f>ROUND(Q1176/Q$1180,3)</f>
        <v>1.4999999999999999E-2</v>
      </c>
      <c r="R1177" s="190"/>
      <c r="S1177" s="78"/>
    </row>
    <row r="1178" spans="4:31" ht="13.5" customHeight="1" x14ac:dyDescent="0.15">
      <c r="D1178" s="399"/>
      <c r="E1178" s="401" t="s">
        <v>434</v>
      </c>
      <c r="F1178" s="401"/>
      <c r="G1178" s="401"/>
      <c r="H1178" s="401"/>
      <c r="I1178" s="402"/>
      <c r="J1178" s="324">
        <v>8</v>
      </c>
      <c r="K1178" s="344">
        <v>11</v>
      </c>
      <c r="L1178" s="181">
        <v>6</v>
      </c>
      <c r="M1178" s="344">
        <v>2</v>
      </c>
      <c r="N1178" s="324">
        <v>8</v>
      </c>
      <c r="O1178" s="344">
        <v>11</v>
      </c>
      <c r="P1178" s="181">
        <v>6</v>
      </c>
      <c r="Q1178" s="344">
        <v>2</v>
      </c>
      <c r="R1178" s="181">
        <v>7</v>
      </c>
      <c r="S1178" s="178"/>
    </row>
    <row r="1179" spans="4:31" ht="14.25" thickBot="1" x14ac:dyDescent="0.2">
      <c r="D1179" s="400"/>
      <c r="E1179" s="403"/>
      <c r="F1179" s="403"/>
      <c r="G1179" s="403"/>
      <c r="H1179" s="403"/>
      <c r="I1179" s="404"/>
      <c r="J1179" s="345"/>
      <c r="K1179" s="188" t="e">
        <f>ROUND(K1178/K$1180,3)</f>
        <v>#DIV/0!</v>
      </c>
      <c r="L1179" s="190"/>
      <c r="M1179" s="188">
        <f>ROUND(M1178/M$1180,3)</f>
        <v>0.03</v>
      </c>
      <c r="N1179" s="345"/>
      <c r="O1179" s="188" t="e">
        <f>ROUND(O1178/O$1180,3)</f>
        <v>#DIV/0!</v>
      </c>
      <c r="P1179" s="190"/>
      <c r="Q1179" s="188">
        <f>ROUND(Q1178/Q$1180,3)</f>
        <v>0.03</v>
      </c>
      <c r="R1179" s="190"/>
      <c r="S1179" s="78"/>
      <c r="W1179" s="174" t="s">
        <v>435</v>
      </c>
      <c r="X1179" s="2"/>
      <c r="Y1179" s="2"/>
      <c r="Z1179" s="2"/>
      <c r="AA1179" s="2"/>
      <c r="AB1179" s="2"/>
      <c r="AC1179" s="11"/>
      <c r="AD1179" s="2"/>
      <c r="AE1179" s="2"/>
    </row>
    <row r="1180" spans="4:31" x14ac:dyDescent="0.15">
      <c r="D1180" s="405" t="s">
        <v>333</v>
      </c>
      <c r="E1180" s="406"/>
      <c r="F1180" s="406"/>
      <c r="G1180" s="406"/>
      <c r="H1180" s="406"/>
      <c r="I1180" s="407"/>
      <c r="J1180" s="335"/>
      <c r="K1180" s="346">
        <f>SUM(M1241:R1241)</f>
        <v>0</v>
      </c>
      <c r="L1180" s="347"/>
      <c r="M1180" s="348">
        <v>66</v>
      </c>
      <c r="N1180" s="336"/>
      <c r="O1180" s="349">
        <f>SUM(Q1241:Z1241)</f>
        <v>0</v>
      </c>
      <c r="P1180" s="350"/>
      <c r="Q1180" s="351">
        <v>66</v>
      </c>
      <c r="R1180" s="350"/>
      <c r="S1180" s="352"/>
      <c r="W1180" s="2"/>
      <c r="X1180" s="175"/>
      <c r="Y1180" s="384" t="s">
        <v>273</v>
      </c>
      <c r="Z1180" s="384"/>
      <c r="AA1180" s="384"/>
      <c r="AB1180" s="384"/>
      <c r="AC1180" s="384"/>
      <c r="AD1180" s="384"/>
      <c r="AE1180" s="385"/>
    </row>
    <row r="1181" spans="4:31" x14ac:dyDescent="0.15">
      <c r="D1181" s="405" t="s">
        <v>436</v>
      </c>
      <c r="E1181" s="406"/>
      <c r="F1181" s="406"/>
      <c r="G1181" s="406"/>
      <c r="H1181" s="406"/>
      <c r="I1181" s="407"/>
      <c r="J1181" s="353"/>
      <c r="K1181" s="354">
        <f>SUM(K1164,K1166,K1176,K1168,K1174,K1170,K1172,K1178)</f>
        <v>334</v>
      </c>
      <c r="L1181" s="355"/>
      <c r="M1181" s="356">
        <f>SUM(M1164,M1166,M1176,M1168,M1174,M1170,M1172,M1178)</f>
        <v>44</v>
      </c>
      <c r="N1181" s="357"/>
      <c r="O1181" s="358">
        <f>SUM(O1164,O1166,O1176,O1168,O1174,O1170,O1172,O1178)</f>
        <v>334</v>
      </c>
      <c r="P1181" s="359"/>
      <c r="Q1181" s="360">
        <f>SUM(Q1164,Q1166,Q1176,Q1168,Q1174,Q1170,Q1172,Q1178)</f>
        <v>44</v>
      </c>
      <c r="R1181" s="359"/>
      <c r="S1181" s="361"/>
      <c r="W1181" s="2"/>
      <c r="X1181" s="110"/>
      <c r="Y1181" s="19"/>
      <c r="Z1181" s="394" t="s">
        <v>29</v>
      </c>
      <c r="AA1181" s="394"/>
      <c r="AB1181" s="408" t="s">
        <v>30</v>
      </c>
      <c r="AC1181" s="396"/>
      <c r="AD1181" s="376" t="s">
        <v>31</v>
      </c>
      <c r="AE1181" s="409"/>
    </row>
    <row r="1182" spans="4:31" x14ac:dyDescent="0.15">
      <c r="D1182" s="337"/>
      <c r="K1182" s="314" t="str">
        <f>IF(K1181=[1]★Ｈ２５入力表!CT793,"ok","NG")</f>
        <v>NG</v>
      </c>
      <c r="L1182" s="315"/>
      <c r="M1182" s="314" t="str">
        <f>IF(M1181=[1]★Ｈ２５入力表!CR792,"ok","NG")</f>
        <v>NG</v>
      </c>
      <c r="N1182" s="337"/>
      <c r="O1182" s="317" t="str">
        <f>IF(O1181=[1]★Ｈ２５入力表!CX793,"ok","NG")</f>
        <v>NG</v>
      </c>
      <c r="P1182" s="318"/>
      <c r="Q1182" s="317" t="str">
        <f>IF(Q1181=[1]★Ｈ２５入力表!CV792,"ok","NG")</f>
        <v>NG</v>
      </c>
      <c r="R1182" s="318"/>
      <c r="S1182" s="318"/>
      <c r="W1182" s="381" t="s">
        <v>437</v>
      </c>
      <c r="X1182" s="145"/>
      <c r="Y1182" s="179">
        <f>AA1182+AC1182+AE1182</f>
        <v>0</v>
      </c>
      <c r="Z1182" s="180"/>
      <c r="AA1182" s="57">
        <v>0</v>
      </c>
      <c r="AB1182" s="221"/>
      <c r="AC1182" s="182">
        <v>0</v>
      </c>
      <c r="AD1182" s="183"/>
      <c r="AE1182" s="184">
        <v>0</v>
      </c>
    </row>
    <row r="1183" spans="4:31" x14ac:dyDescent="0.15">
      <c r="D1183" s="397" t="s">
        <v>410</v>
      </c>
      <c r="E1183" s="398"/>
      <c r="F1183" s="144"/>
      <c r="G1183" s="144"/>
      <c r="H1183" s="144"/>
      <c r="I1183" s="137"/>
      <c r="K1183" s="314"/>
      <c r="L1183" s="315"/>
      <c r="M1183" s="314"/>
      <c r="N1183" s="338"/>
      <c r="O1183" s="339"/>
      <c r="P1183" s="340"/>
      <c r="Q1183" s="339"/>
      <c r="R1183" s="340"/>
      <c r="S1183" s="340"/>
      <c r="W1183" s="382"/>
      <c r="X1183" s="110"/>
      <c r="Y1183" s="188" t="e">
        <f>ROUND(Y1182/(Y$1182+Y$1184+Y$1186+Y$1188+Y$1190+Y$1192+Y$1194+Y$1196),3)</f>
        <v>#DIV/0!</v>
      </c>
      <c r="Z1183" s="189"/>
      <c r="AA1183" s="188" t="e">
        <f>ROUND(AA1182/(AA$1182+AA$1184+AA$1186+AA$1188+AA$1190+AA$1192+AA$1194+AA$1196),3)</f>
        <v>#DIV/0!</v>
      </c>
      <c r="AB1183" s="159"/>
      <c r="AC1183" s="188" t="e">
        <f>ROUND(AC1182/(AC$1182+AC$1184+AC$1186+AC$1188+AC$1190+AC$1192+AC$1194+AC$1196),3)</f>
        <v>#DIV/0!</v>
      </c>
      <c r="AD1183" s="191"/>
      <c r="AE1183" s="192" t="e">
        <f>ROUND(AE1182/(AE$1182+AE$1184+AE$1186+AE$1188+AE$1190+AE$1192+AE$1194+AE$1196),3)</f>
        <v>#DIV/0!</v>
      </c>
    </row>
    <row r="1184" spans="4:31" x14ac:dyDescent="0.15">
      <c r="D1184" s="341" t="s">
        <v>411</v>
      </c>
      <c r="E1184" s="147" t="s">
        <v>438</v>
      </c>
      <c r="F1184" s="100"/>
      <c r="G1184" s="100"/>
      <c r="H1184" s="100"/>
      <c r="I1184" s="342"/>
      <c r="K1184" s="314"/>
      <c r="L1184" s="315"/>
      <c r="M1184" s="314"/>
      <c r="N1184" s="338"/>
      <c r="O1184" s="339"/>
      <c r="P1184" s="340"/>
      <c r="Q1184" s="339"/>
      <c r="R1184" s="340"/>
      <c r="S1184" s="340"/>
      <c r="W1184" s="381" t="s">
        <v>439</v>
      </c>
      <c r="X1184" s="145"/>
      <c r="Y1184" s="179">
        <f>AA1184+AC1184+AE1184</f>
        <v>0</v>
      </c>
      <c r="Z1184" s="180"/>
      <c r="AA1184" s="57">
        <v>0</v>
      </c>
      <c r="AB1184" s="221"/>
      <c r="AC1184" s="182">
        <v>0</v>
      </c>
      <c r="AD1184" s="183"/>
      <c r="AE1184" s="184">
        <v>0</v>
      </c>
    </row>
    <row r="1185" spans="4:31" x14ac:dyDescent="0.15">
      <c r="D1185" s="341" t="s">
        <v>411</v>
      </c>
      <c r="E1185" s="147" t="s">
        <v>440</v>
      </c>
      <c r="F1185" s="100"/>
      <c r="G1185" s="100"/>
      <c r="H1185" s="100"/>
      <c r="I1185" s="342"/>
      <c r="K1185" s="314"/>
      <c r="L1185" s="315"/>
      <c r="M1185" s="314"/>
      <c r="N1185" s="338"/>
      <c r="O1185" s="339"/>
      <c r="P1185" s="340"/>
      <c r="Q1185" s="339"/>
      <c r="R1185" s="340"/>
      <c r="S1185" s="340"/>
      <c r="W1185" s="382"/>
      <c r="X1185" s="110"/>
      <c r="Y1185" s="188" t="e">
        <f>ROUND(Y1184/(Y$1182+Y$1184+Y$1186+Y$1188+Y$1190+Y$1192+Y$1194+Y$1196),3)</f>
        <v>#DIV/0!</v>
      </c>
      <c r="Z1185" s="189"/>
      <c r="AA1185" s="188" t="e">
        <f>ROUND(AA1184/(AA$1182+AA$1184+AA$1186+AA$1188+AA$1190+AA$1192+AA$1194+AA$1196),3)</f>
        <v>#DIV/0!</v>
      </c>
      <c r="AB1185" s="159"/>
      <c r="AC1185" s="188" t="e">
        <f>ROUND(AC1184/(AC$1182+AC$1184+AC$1186+AC$1188+AC$1190+AC$1192+AC$1194+AC$1196),3)</f>
        <v>#DIV/0!</v>
      </c>
      <c r="AD1185" s="191"/>
      <c r="AE1185" s="192" t="e">
        <f>ROUND(AE1184/(AE$1182+AE$1184+AE$1186+AE$1188+AE$1190+AE$1192+AE$1194+AE$1196),3)</f>
        <v>#DIV/0!</v>
      </c>
    </row>
    <row r="1186" spans="4:31" x14ac:dyDescent="0.15">
      <c r="D1186" s="343" t="s">
        <v>411</v>
      </c>
      <c r="E1186" s="207" t="s">
        <v>441</v>
      </c>
      <c r="F1186" s="94"/>
      <c r="G1186" s="94"/>
      <c r="H1186" s="94"/>
      <c r="I1186" s="19"/>
      <c r="K1186" s="314"/>
      <c r="L1186" s="315"/>
      <c r="M1186" s="314"/>
      <c r="N1186" s="338"/>
      <c r="O1186" s="339"/>
      <c r="P1186" s="340"/>
      <c r="Q1186" s="339"/>
      <c r="R1186" s="340"/>
      <c r="S1186" s="340"/>
      <c r="W1186" s="227" t="s">
        <v>442</v>
      </c>
      <c r="X1186" s="145"/>
      <c r="Y1186" s="179">
        <f>AA1186+AC1186+AE1186</f>
        <v>0</v>
      </c>
      <c r="Z1186" s="180"/>
      <c r="AA1186" s="57">
        <v>0</v>
      </c>
      <c r="AB1186" s="221"/>
      <c r="AC1186" s="182">
        <v>0</v>
      </c>
      <c r="AD1186" s="183"/>
      <c r="AE1186" s="184">
        <v>0</v>
      </c>
    </row>
    <row r="1187" spans="4:31" x14ac:dyDescent="0.15">
      <c r="W1187" s="228" t="s">
        <v>443</v>
      </c>
      <c r="X1187" s="110"/>
      <c r="Y1187" s="188" t="e">
        <f>ROUND(Y1186/(Y$1182+Y$1184+Y$1186+Y$1188+Y$1190+Y$1192+Y$1194+Y$1196),3)</f>
        <v>#DIV/0!</v>
      </c>
      <c r="Z1187" s="189"/>
      <c r="AA1187" s="188" t="e">
        <f>ROUND(AA1186/(AA$1182+AA$1184+AA$1186+AA$1188+AA$1190+AA$1192+AA$1194+AA$1196),3)</f>
        <v>#DIV/0!</v>
      </c>
      <c r="AB1187" s="159"/>
      <c r="AC1187" s="188" t="e">
        <f>ROUND(AC1186/(AC$1182+AC$1184+AC$1186+AC$1188+AC$1190+AC$1192+AC$1194+AC$1196),3)</f>
        <v>#DIV/0!</v>
      </c>
      <c r="AD1187" s="191"/>
      <c r="AE1187" s="192" t="e">
        <f>ROUND(AE1186/(AE$1182+AE$1184+AE$1186+AE$1188+AE$1190+AE$1192+AE$1194+AE$1196),3)</f>
        <v>#DIV/0!</v>
      </c>
    </row>
    <row r="1188" spans="4:31" x14ac:dyDescent="0.15">
      <c r="W1188" s="381" t="s">
        <v>444</v>
      </c>
      <c r="X1188" s="145"/>
      <c r="Y1188" s="179">
        <f>AA1188+AC1188+AE1188</f>
        <v>0</v>
      </c>
      <c r="Z1188" s="180"/>
      <c r="AA1188" s="57">
        <v>0</v>
      </c>
      <c r="AB1188" s="221"/>
      <c r="AC1188" s="182">
        <v>0</v>
      </c>
      <c r="AD1188" s="183"/>
      <c r="AE1188" s="184">
        <v>0</v>
      </c>
    </row>
    <row r="1189" spans="4:31" x14ac:dyDescent="0.15">
      <c r="W1189" s="382"/>
      <c r="X1189" s="110"/>
      <c r="Y1189" s="188" t="e">
        <f>ROUND(Y1188/(Y$1182+Y$1184+Y$1186+Y$1188+Y$1190+Y$1192+Y$1194+Y$1196),3)</f>
        <v>#DIV/0!</v>
      </c>
      <c r="Z1189" s="189"/>
      <c r="AA1189" s="188" t="e">
        <f>ROUND(AA1188/(AA$1182+AA$1184+AA$1186+AA$1188+AA$1190+AA$1192+AA$1194+AA$1196),3)</f>
        <v>#DIV/0!</v>
      </c>
      <c r="AB1189" s="159"/>
      <c r="AC1189" s="188" t="e">
        <f>ROUND(AC1188/(AC$1182+AC$1184+AC$1186+AC$1188+AC$1190+AC$1192+AC$1194+AC$1196),3)</f>
        <v>#DIV/0!</v>
      </c>
      <c r="AD1189" s="191"/>
      <c r="AE1189" s="192" t="e">
        <f>ROUND(AE1188/(AE$1182+AE$1184+AE$1186+AE$1188+AE$1190+AE$1192+AE$1194+AE$1196),3)</f>
        <v>#DIV/0!</v>
      </c>
    </row>
    <row r="1190" spans="4:31" x14ac:dyDescent="0.15">
      <c r="W1190" s="381" t="s">
        <v>445</v>
      </c>
      <c r="X1190" s="197"/>
      <c r="Y1190" s="179">
        <f>AA1190+AC1190+AE1190</f>
        <v>0</v>
      </c>
      <c r="Z1190" s="198"/>
      <c r="AA1190" s="57">
        <v>0</v>
      </c>
      <c r="AB1190" s="221"/>
      <c r="AC1190" s="182">
        <v>0</v>
      </c>
      <c r="AD1190" s="183"/>
      <c r="AE1190" s="184">
        <v>0</v>
      </c>
    </row>
    <row r="1191" spans="4:31" x14ac:dyDescent="0.15">
      <c r="W1191" s="382"/>
      <c r="X1191" s="197"/>
      <c r="Y1191" s="188" t="e">
        <f>ROUND(Y1190/(Y$1182+Y$1184+Y$1186+Y$1188+Y$1190+Y$1192+Y$1194+Y$1196),3)</f>
        <v>#DIV/0!</v>
      </c>
      <c r="Z1191" s="189"/>
      <c r="AA1191" s="188" t="e">
        <f>ROUND(AA1190/(AA$1182+AA$1184+AA$1186+AA$1188+AA$1190+AA$1192+AA$1194+AA$1196),3)</f>
        <v>#DIV/0!</v>
      </c>
      <c r="AB1191" s="159"/>
      <c r="AC1191" s="188" t="e">
        <f>ROUND(AC1190/(AC$1182+AC$1184+AC$1186+AC$1188+AC$1190+AC$1192+AC$1194+AC$1196),3)</f>
        <v>#DIV/0!</v>
      </c>
      <c r="AD1191" s="191"/>
      <c r="AE1191" s="192" t="e">
        <f>ROUND(AE1190/(AE$1182+AE$1184+AE$1186+AE$1188+AE$1190+AE$1192+AE$1194+AE$1196),3)</f>
        <v>#DIV/0!</v>
      </c>
    </row>
    <row r="1192" spans="4:31" x14ac:dyDescent="0.15">
      <c r="W1192" s="381" t="s">
        <v>446</v>
      </c>
      <c r="X1192" s="197"/>
      <c r="Y1192" s="179">
        <f>AA1192+AC1192+AE1192</f>
        <v>0</v>
      </c>
      <c r="Z1192" s="198"/>
      <c r="AA1192" s="57">
        <v>0</v>
      </c>
      <c r="AB1192" s="221"/>
      <c r="AC1192" s="182">
        <v>0</v>
      </c>
      <c r="AD1192" s="183"/>
      <c r="AE1192" s="184">
        <v>0</v>
      </c>
    </row>
    <row r="1193" spans="4:31" x14ac:dyDescent="0.15">
      <c r="W1193" s="382"/>
      <c r="X1193" s="197"/>
      <c r="Y1193" s="188" t="e">
        <f>ROUND(Y1192/(Y$1182+Y$1184+Y$1186+Y$1188+Y$1190+Y$1192+Y$1194+Y$1196),3)</f>
        <v>#DIV/0!</v>
      </c>
      <c r="Z1193" s="189"/>
      <c r="AA1193" s="188" t="e">
        <f>ROUND(AA1192/(AA$1182+AA$1184+AA$1186+AA$1188+AA$1190+AA$1192+AA$1194+AA$1196),3)</f>
        <v>#DIV/0!</v>
      </c>
      <c r="AB1193" s="159"/>
      <c r="AC1193" s="188" t="e">
        <f>ROUND(AC1192/(AC$1182+AC$1184+AC$1186+AC$1188+AC$1190+AC$1192+AC$1194+AC$1196),3)</f>
        <v>#DIV/0!</v>
      </c>
      <c r="AD1193" s="191"/>
      <c r="AE1193" s="192" t="e">
        <f>ROUND(AE1192/(AE$1182+AE$1184+AE$1186+AE$1188+AE$1190+AE$1192+AE$1194+AE$1196),3)</f>
        <v>#DIV/0!</v>
      </c>
    </row>
    <row r="1194" spans="4:31" x14ac:dyDescent="0.15">
      <c r="W1194" s="381" t="s">
        <v>318</v>
      </c>
      <c r="X1194" s="238"/>
      <c r="Y1194" s="179">
        <f>AA1194+AC1194+AE1194</f>
        <v>0</v>
      </c>
      <c r="Z1194" s="202"/>
      <c r="AA1194" s="57">
        <v>0</v>
      </c>
      <c r="AB1194" s="236"/>
      <c r="AC1194" s="182">
        <v>0</v>
      </c>
      <c r="AD1194" s="183"/>
      <c r="AE1194" s="184">
        <v>0</v>
      </c>
    </row>
    <row r="1195" spans="4:31" x14ac:dyDescent="0.15">
      <c r="W1195" s="382"/>
      <c r="X1195" s="238"/>
      <c r="Y1195" s="188" t="e">
        <f>ROUND(Y1194/(Y$1182+Y$1184+Y$1186+Y$1188+Y$1190+Y$1192+Y$1194+Y$1196),3)</f>
        <v>#DIV/0!</v>
      </c>
      <c r="Z1195" s="189"/>
      <c r="AA1195" s="188" t="e">
        <f>ROUND(AA1194/(AA$1182+AA$1184+AA$1186+AA$1188+AA$1190+AA$1192+AA$1194+AA$1196),3)</f>
        <v>#DIV/0!</v>
      </c>
      <c r="AB1195" s="159"/>
      <c r="AC1195" s="188" t="e">
        <f>ROUND(AC1194/(AC$1182+AC$1184+AC$1186+AC$1188+AC$1190+AC$1192+AC$1194+AC$1196),3)</f>
        <v>#DIV/0!</v>
      </c>
      <c r="AD1195" s="191"/>
      <c r="AE1195" s="192" t="e">
        <f>ROUND(AE1194/(AE$1182+AE$1184+AE$1186+AE$1188+AE$1190+AE$1192+AE$1194+AE$1196),3)</f>
        <v>#DIV/0!</v>
      </c>
    </row>
    <row r="1196" spans="4:31" x14ac:dyDescent="0.15">
      <c r="W1196" s="383" t="s">
        <v>301</v>
      </c>
      <c r="X1196" s="201"/>
      <c r="Y1196" s="179">
        <f>AA1196+AC1196+AE1196</f>
        <v>0</v>
      </c>
      <c r="Z1196" s="202"/>
      <c r="AA1196" s="57">
        <v>0</v>
      </c>
      <c r="AB1196" s="236"/>
      <c r="AC1196" s="182">
        <v>0</v>
      </c>
      <c r="AD1196" s="183"/>
      <c r="AE1196" s="184">
        <v>0</v>
      </c>
    </row>
    <row r="1197" spans="4:31" ht="14.25" thickBot="1" x14ac:dyDescent="0.2">
      <c r="W1197" s="383"/>
      <c r="X1197" s="239"/>
      <c r="Y1197" s="240" t="e">
        <f>ROUND(Y1196/(Y$1182+Y$1184+Y$1186+Y$1188+Y$1190+Y$1192+Y$1194+Y$1196),3)</f>
        <v>#DIV/0!</v>
      </c>
      <c r="Z1197" s="241"/>
      <c r="AA1197" s="240" t="e">
        <f>ROUND(AA1196/(AA$1182+AA$1184+AA$1186+AA$1188+AA$1190+AA$1192+AA$1194+AA$1196),3)</f>
        <v>#DIV/0!</v>
      </c>
      <c r="AB1197" s="242"/>
      <c r="AC1197" s="240" t="e">
        <f>ROUND(AC1196/(AC$1182+AC$1184+AC$1186+AC$1188+AC$1190+AC$1192+AC$1194+AC$1196),3)</f>
        <v>#DIV/0!</v>
      </c>
      <c r="AD1197" s="243"/>
      <c r="AE1197" s="244" t="e">
        <f>ROUND(AE1196/(AE$1182+AE$1184+AE$1186+AE$1188+AE$1190+AE$1192+AE$1194+AE$1196),3)</f>
        <v>#DIV/0!</v>
      </c>
    </row>
    <row r="1202" spans="23:41" ht="14.25" thickBot="1" x14ac:dyDescent="0.2">
      <c r="W1202" s="174" t="s">
        <v>447</v>
      </c>
      <c r="X1202" s="2"/>
      <c r="Y1202" s="2"/>
      <c r="Z1202" s="2"/>
      <c r="AA1202" s="2"/>
      <c r="AB1202" s="2"/>
      <c r="AC1202" s="11"/>
      <c r="AD1202" s="2"/>
      <c r="AE1202" s="2"/>
      <c r="AF1202" s="2"/>
      <c r="AG1202" s="2"/>
      <c r="AH1202" s="2"/>
      <c r="AI1202" s="2"/>
      <c r="AJ1202" s="2"/>
      <c r="AK1202" s="2"/>
      <c r="AL1202" s="2"/>
      <c r="AM1202" s="2"/>
    </row>
    <row r="1203" spans="23:41" x14ac:dyDescent="0.15">
      <c r="W1203" s="2"/>
      <c r="X1203" s="175"/>
      <c r="Y1203" s="384" t="s">
        <v>273</v>
      </c>
      <c r="Z1203" s="384"/>
      <c r="AA1203" s="384"/>
      <c r="AB1203" s="384"/>
      <c r="AC1203" s="384"/>
      <c r="AD1203" s="384"/>
      <c r="AE1203" s="385"/>
      <c r="AF1203" s="144"/>
      <c r="AG1203" s="386" t="s">
        <v>274</v>
      </c>
      <c r="AH1203" s="386"/>
      <c r="AI1203" s="386"/>
      <c r="AJ1203" s="386"/>
      <c r="AK1203" s="386"/>
      <c r="AL1203" s="386"/>
      <c r="AM1203" s="387"/>
      <c r="AN1203" s="378" t="s">
        <v>303</v>
      </c>
      <c r="AO1203" s="379"/>
    </row>
    <row r="1204" spans="23:41" x14ac:dyDescent="0.15">
      <c r="W1204" s="2"/>
      <c r="X1204" s="110"/>
      <c r="Y1204" s="19"/>
      <c r="Z1204" s="394" t="s">
        <v>29</v>
      </c>
      <c r="AA1204" s="394"/>
      <c r="AB1204" s="395" t="s">
        <v>30</v>
      </c>
      <c r="AC1204" s="396"/>
      <c r="AD1204" s="376" t="s">
        <v>31</v>
      </c>
      <c r="AE1204" s="409"/>
      <c r="AF1204" s="94"/>
      <c r="AG1204" s="19"/>
      <c r="AH1204" s="394" t="s">
        <v>29</v>
      </c>
      <c r="AI1204" s="394"/>
      <c r="AJ1204" s="395" t="s">
        <v>30</v>
      </c>
      <c r="AK1204" s="396"/>
      <c r="AL1204" s="376" t="s">
        <v>31</v>
      </c>
      <c r="AM1204" s="377"/>
      <c r="AN1204" s="378" t="s">
        <v>289</v>
      </c>
      <c r="AO1204" s="379"/>
    </row>
    <row r="1205" spans="23:41" x14ac:dyDescent="0.15">
      <c r="W1205" s="380" t="s">
        <v>448</v>
      </c>
      <c r="X1205" s="145"/>
      <c r="Y1205" s="179">
        <f>AA1205+AC1205+AE1205</f>
        <v>0</v>
      </c>
      <c r="Z1205" s="180"/>
      <c r="AA1205" s="57">
        <v>0</v>
      </c>
      <c r="AB1205" s="181"/>
      <c r="AC1205" s="182">
        <v>0</v>
      </c>
      <c r="AD1205" s="183"/>
      <c r="AE1205" s="184">
        <v>0</v>
      </c>
      <c r="AF1205" s="144">
        <v>1</v>
      </c>
      <c r="AG1205" s="179">
        <f>AI1205+AK1205+AM1205</f>
        <v>87</v>
      </c>
      <c r="AH1205" s="180">
        <v>3</v>
      </c>
      <c r="AI1205" s="57">
        <v>8</v>
      </c>
      <c r="AJ1205" s="181">
        <v>1</v>
      </c>
      <c r="AK1205" s="179">
        <v>34</v>
      </c>
      <c r="AL1205" s="186">
        <v>2</v>
      </c>
      <c r="AM1205" s="57">
        <v>45</v>
      </c>
      <c r="AN1205" s="222">
        <v>1</v>
      </c>
      <c r="AO1205" s="296">
        <v>64</v>
      </c>
    </row>
    <row r="1206" spans="23:41" x14ac:dyDescent="0.15">
      <c r="W1206" s="380"/>
      <c r="X1206" s="110"/>
      <c r="Y1206" s="188" t="e">
        <f>ROUND(Y1205/(Y$1205+Y$1207+Y$1209+Y$1211+Y$1213+Y$1215+Y$1217+Y$1219+Y$1221),3)</f>
        <v>#DIV/0!</v>
      </c>
      <c r="Z1206" s="189"/>
      <c r="AA1206" s="188" t="e">
        <f>ROUND(AA1205/(AA$1205+AA$1207+AA$1209+AA$1211+AA$1213+AA$1215+AA$1217+AA$1219+AA$1221),3)</f>
        <v>#DIV/0!</v>
      </c>
      <c r="AB1206" s="190"/>
      <c r="AC1206" s="188" t="e">
        <f>ROUND(AC1205/(AC$1205+AC$1207+AC$1209+AC$1211+AC$1213+AC$1215+AC$1217+AC$1219+AC$1221),3)</f>
        <v>#DIV/0!</v>
      </c>
      <c r="AD1206" s="191"/>
      <c r="AE1206" s="192" t="e">
        <f>ROUND(AE1205/(AE$1205+AE$1207+AE$1209+AE$1211+AE$1213+AE$1215+AE$1217+AE$1219+AE$1221),3)</f>
        <v>#DIV/0!</v>
      </c>
      <c r="AF1206" s="94"/>
      <c r="AG1206" s="188">
        <f>ROUND(AG1205/(AG$1021+AG$1023+AG$1025+AG$1027+AG$1031+AG$1033),3)</f>
        <v>0.115</v>
      </c>
      <c r="AH1206" s="189"/>
      <c r="AI1206" s="188">
        <f>ROUND(AI1205/(AI$1021+AI$1023+AI$1025+AI$1027+AI$1031+AI$1033),3)</f>
        <v>0.121</v>
      </c>
      <c r="AJ1206" s="190"/>
      <c r="AK1206" s="188">
        <f>ROUND(AK1205/(AK$1021+AK$1023+AK$1025+AK$1027+AK$1031+AK$1033),3)</f>
        <v>0.129</v>
      </c>
      <c r="AL1206" s="191"/>
      <c r="AM1206" s="188">
        <f>ROUND(AM1205/(AM$1021+AM$1023+AM$1025+AM$1027+AM$1031+AM$1033),3)</f>
        <v>0.105</v>
      </c>
      <c r="AN1206" s="223"/>
      <c r="AO1206" s="188">
        <v>0.14799999999999999</v>
      </c>
    </row>
    <row r="1207" spans="23:41" x14ac:dyDescent="0.15">
      <c r="W1207" s="224" t="s">
        <v>449</v>
      </c>
      <c r="X1207" s="145"/>
      <c r="Y1207" s="179">
        <f>AA1207+AC1207+AE1207</f>
        <v>0</v>
      </c>
      <c r="Z1207" s="180"/>
      <c r="AA1207" s="57">
        <v>0</v>
      </c>
      <c r="AB1207" s="181"/>
      <c r="AC1207" s="182">
        <v>0</v>
      </c>
      <c r="AD1207" s="183"/>
      <c r="AE1207" s="184">
        <v>0</v>
      </c>
      <c r="AF1207" s="144">
        <v>2</v>
      </c>
      <c r="AG1207" s="179">
        <f>AI1207+AK1207+AM1207</f>
        <v>85</v>
      </c>
      <c r="AH1207" s="180">
        <v>2</v>
      </c>
      <c r="AI1207" s="57">
        <v>11</v>
      </c>
      <c r="AJ1207" s="181">
        <v>2</v>
      </c>
      <c r="AK1207" s="179">
        <v>18</v>
      </c>
      <c r="AL1207" s="186">
        <v>1</v>
      </c>
      <c r="AM1207" s="57">
        <v>56</v>
      </c>
      <c r="AN1207" s="222">
        <v>2</v>
      </c>
      <c r="AO1207" s="179">
        <v>47</v>
      </c>
    </row>
    <row r="1208" spans="23:41" x14ac:dyDescent="0.15">
      <c r="W1208" s="225" t="s">
        <v>450</v>
      </c>
      <c r="X1208" s="110"/>
      <c r="Y1208" s="188" t="e">
        <f>ROUND(Y1207/(Y$1205+Y$1207+Y$1209+Y$1211+Y$1213+Y$1215+Y$1217+Y$1219+Y$1221),3)</f>
        <v>#DIV/0!</v>
      </c>
      <c r="Z1208" s="189"/>
      <c r="AA1208" s="188" t="e">
        <f>ROUND(AA1207/(AA$1205+AA$1207+AA$1209+AA$1211+AA$1213+AA$1215+AA$1217+AA$1219+AA$1221),3)</f>
        <v>#DIV/0!</v>
      </c>
      <c r="AB1208" s="190"/>
      <c r="AC1208" s="188" t="e">
        <f>ROUND(AC1207/(AC$1205+AC$1207+AC$1209+AC$1211+AC$1213+AC$1215+AC$1217+AC$1219+AC$1221),3)</f>
        <v>#DIV/0!</v>
      </c>
      <c r="AD1208" s="191"/>
      <c r="AE1208" s="192" t="e">
        <f>ROUND(AE1207/(AE$1205+AE$1207+AE$1209+AE$1211+AE$1213+AE$1215+AE$1217+AE$1219+AE$1221),3)</f>
        <v>#DIV/0!</v>
      </c>
      <c r="AF1208" s="94"/>
      <c r="AG1208" s="188">
        <f>ROUND(AG1207/(AG$1021+AG$1023+AG$1025+AG$1027+AG$1031+AG$1033),3)</f>
        <v>0.112</v>
      </c>
      <c r="AH1208" s="189"/>
      <c r="AI1208" s="188">
        <f>ROUND(AI1207/(AI$1021+AI$1023+AI$1025+AI$1027+AI$1031+AI$1033),3)</f>
        <v>0.16700000000000001</v>
      </c>
      <c r="AJ1208" s="193"/>
      <c r="AK1208" s="188">
        <f>ROUND(AK1207/(AK$1021+AK$1023+AK$1025+AK$1027+AK$1031+AK$1033),3)</f>
        <v>6.8000000000000005E-2</v>
      </c>
      <c r="AL1208" s="194"/>
      <c r="AM1208" s="188">
        <f>ROUND(AM1207/(AM$1021+AM$1025+AM$1023+AM$1027+AM$1031+AM$1033),3)</f>
        <v>0.13100000000000001</v>
      </c>
      <c r="AN1208" s="226"/>
      <c r="AO1208" s="188">
        <v>0.109</v>
      </c>
    </row>
    <row r="1209" spans="23:41" x14ac:dyDescent="0.15">
      <c r="W1209" s="381" t="s">
        <v>451</v>
      </c>
      <c r="X1209" s="145"/>
      <c r="Y1209" s="179">
        <f>AA1209+AC1209+AE1209</f>
        <v>0</v>
      </c>
      <c r="Z1209" s="180"/>
      <c r="AA1209" s="57">
        <v>0</v>
      </c>
      <c r="AB1209" s="181"/>
      <c r="AC1209" s="182">
        <v>0</v>
      </c>
      <c r="AD1209" s="183"/>
      <c r="AE1209" s="184">
        <v>0</v>
      </c>
      <c r="AF1209" s="144">
        <v>3</v>
      </c>
      <c r="AG1209" s="179">
        <f>AI1209+AK1209+AM1209</f>
        <v>50</v>
      </c>
      <c r="AH1209" s="180">
        <v>1</v>
      </c>
      <c r="AI1209" s="57">
        <v>12</v>
      </c>
      <c r="AJ1209" s="181">
        <v>6</v>
      </c>
      <c r="AK1209" s="179">
        <v>5</v>
      </c>
      <c r="AL1209" s="186">
        <v>3</v>
      </c>
      <c r="AM1209" s="57">
        <v>33</v>
      </c>
      <c r="AN1209" s="222">
        <v>4</v>
      </c>
      <c r="AO1209" s="179">
        <v>17</v>
      </c>
    </row>
    <row r="1210" spans="23:41" x14ac:dyDescent="0.15">
      <c r="W1210" s="382"/>
      <c r="X1210" s="110"/>
      <c r="Y1210" s="188" t="e">
        <f>ROUND(Y1209/(Y$1205+Y$1207+Y$1209+Y$1211+Y$1213+Y$1215+Y$1217+Y$1219+Y$1221),3)</f>
        <v>#DIV/0!</v>
      </c>
      <c r="Z1210" s="189"/>
      <c r="AA1210" s="188" t="e">
        <f>ROUND(AA1209/(AA$1205+AA$1207+AA$1209+AA$1211+AA$1213+AA$1215+AA$1217+AA$1219+AA$1221),3)</f>
        <v>#DIV/0!</v>
      </c>
      <c r="AB1210" s="190"/>
      <c r="AC1210" s="188" t="e">
        <f>ROUND(AC1209/(AC$1205+AC$1207+AC$1209+AC$1211+AC$1213+AC$1215+AC$1217+AC$1219+AC$1221),3)</f>
        <v>#DIV/0!</v>
      </c>
      <c r="AD1210" s="191"/>
      <c r="AE1210" s="192" t="e">
        <f>ROUND(AE1209/(AE$1205+AE$1207+AE$1209+AE$1211+AE$1213+AE$1215+AE$1217+AE$1219+AE$1221),3)</f>
        <v>#DIV/0!</v>
      </c>
      <c r="AF1210" s="94"/>
      <c r="AG1210" s="188">
        <f>ROUND(AG1209/(AG$1021+AG$1023+AG$1025+AG$1027+AG$1031+AG$1033),3)</f>
        <v>6.6000000000000003E-2</v>
      </c>
      <c r="AH1210" s="189"/>
      <c r="AI1210" s="188">
        <f>ROUND(AI1209/(AI$1021+AI$1023+AI$1025+AI$1027+AI$1031+AI$1033),3)</f>
        <v>0.182</v>
      </c>
      <c r="AJ1210" s="193"/>
      <c r="AK1210" s="188">
        <f>ROUND(AK1209/(AK$1021+AK$1023+AK$1025+AK$1027+AK$1031+AK$1033),3)</f>
        <v>1.9E-2</v>
      </c>
      <c r="AL1210" s="194"/>
      <c r="AM1210" s="188">
        <f>ROUND(AM1209/(AM$1021+AM$1025+AM$1023+AM$1027+AM$1031+AM$1033),3)</f>
        <v>7.6999999999999999E-2</v>
      </c>
      <c r="AN1210" s="226"/>
      <c r="AO1210" s="188">
        <v>3.9E-2</v>
      </c>
    </row>
    <row r="1211" spans="23:41" x14ac:dyDescent="0.15">
      <c r="W1211" s="381" t="s">
        <v>452</v>
      </c>
      <c r="X1211" s="145"/>
      <c r="Y1211" s="179">
        <f>AA1211+AC1211+AE1211</f>
        <v>0</v>
      </c>
      <c r="Z1211" s="180"/>
      <c r="AA1211" s="57">
        <v>0</v>
      </c>
      <c r="AB1211" s="181"/>
      <c r="AC1211" s="182">
        <v>0</v>
      </c>
      <c r="AD1211" s="183"/>
      <c r="AE1211" s="184">
        <v>0</v>
      </c>
      <c r="AF1211" s="144">
        <v>4</v>
      </c>
      <c r="AG1211" s="179">
        <f>AI1211+AK1211+AM1211</f>
        <v>30</v>
      </c>
      <c r="AH1211" s="180">
        <v>6</v>
      </c>
      <c r="AI1211" s="57">
        <v>2</v>
      </c>
      <c r="AJ1211" s="181">
        <v>3</v>
      </c>
      <c r="AK1211" s="179">
        <v>10</v>
      </c>
      <c r="AL1211" s="186">
        <v>5</v>
      </c>
      <c r="AM1211" s="57">
        <v>18</v>
      </c>
      <c r="AN1211" s="222">
        <v>6</v>
      </c>
      <c r="AO1211" s="179">
        <v>13</v>
      </c>
    </row>
    <row r="1212" spans="23:41" x14ac:dyDescent="0.15">
      <c r="W1212" s="382"/>
      <c r="X1212" s="110"/>
      <c r="Y1212" s="188" t="e">
        <f>ROUND(Y1211/(Y$1205+Y$1207+Y$1209+Y$1211+Y$1213+Y$1215+Y$1217+Y$1219+Y$1221),3)</f>
        <v>#DIV/0!</v>
      </c>
      <c r="Z1212" s="189"/>
      <c r="AA1212" s="188" t="e">
        <f>ROUND(AA1211/(AA$1205+AA$1207+AA$1209+AA$1211+AA$1213+AA$1215+AA$1217+AA$1219+AA$1221),3)</f>
        <v>#DIV/0!</v>
      </c>
      <c r="AB1212" s="190"/>
      <c r="AC1212" s="188" t="e">
        <f>ROUND(AC1211/(AC$1205+AC$1207+AC$1209+AC$1211+AC$1213+AC$1215+AC$1217+AC$1219+AC$1221),3)</f>
        <v>#DIV/0!</v>
      </c>
      <c r="AD1212" s="191"/>
      <c r="AE1212" s="192" t="e">
        <f>ROUND(AE1211/(AE$1205+AE$1207+AE$1209+AE$1211+AE$1213+AE$1215+AE$1217+AE$1219+AE$1221),3)</f>
        <v>#DIV/0!</v>
      </c>
      <c r="AF1212" s="94"/>
      <c r="AG1212" s="188">
        <f>ROUND(AG1211/(AG$1021+AG$1023+AG$1025+AG$1027+AG$1031+AG$1033),3)</f>
        <v>0.04</v>
      </c>
      <c r="AH1212" s="191"/>
      <c r="AI1212" s="188">
        <f>ROUND(AI1211/(AI$1021+AI$1023+AI$1025+AI$1027+AI$1031+AI$1033),3)</f>
        <v>0.03</v>
      </c>
      <c r="AJ1212" s="193"/>
      <c r="AK1212" s="188">
        <f>ROUND(AK1211/(AK$1021+AK$1023+AK$1025+AK$1027+AK$1031+AK$1033),3)</f>
        <v>3.7999999999999999E-2</v>
      </c>
      <c r="AL1212" s="194"/>
      <c r="AM1212" s="188">
        <f>ROUND(AM1211/(AM$1021+AM$1025+AM$1023+AM$1027+AM$1031+AM$1033),3)</f>
        <v>4.2000000000000003E-2</v>
      </c>
      <c r="AN1212" s="229"/>
      <c r="AO1212" s="188">
        <v>0.03</v>
      </c>
    </row>
    <row r="1213" spans="23:41" x14ac:dyDescent="0.15">
      <c r="W1213" s="224" t="s">
        <v>453</v>
      </c>
      <c r="X1213" s="145"/>
      <c r="Y1213" s="179">
        <f>AA1213+AC1213+AE1213</f>
        <v>0</v>
      </c>
      <c r="Z1213" s="205"/>
      <c r="AA1213" s="57">
        <v>0</v>
      </c>
      <c r="AB1213" s="181"/>
      <c r="AC1213" s="182">
        <v>0</v>
      </c>
      <c r="AD1213" s="183"/>
      <c r="AE1213" s="184">
        <v>0</v>
      </c>
      <c r="AF1213" s="144">
        <v>5</v>
      </c>
      <c r="AG1213" s="179">
        <f>AI1213+AK1213+AM1213</f>
        <v>29</v>
      </c>
      <c r="AH1213" s="180">
        <v>4</v>
      </c>
      <c r="AI1213" s="57">
        <v>5</v>
      </c>
      <c r="AJ1213" s="181">
        <v>3</v>
      </c>
      <c r="AK1213" s="179">
        <v>10</v>
      </c>
      <c r="AL1213" s="186">
        <v>6</v>
      </c>
      <c r="AM1213" s="57">
        <v>14</v>
      </c>
      <c r="AN1213" s="222">
        <v>7</v>
      </c>
      <c r="AO1213" s="179">
        <v>12</v>
      </c>
    </row>
    <row r="1214" spans="23:41" x14ac:dyDescent="0.15">
      <c r="W1214" s="225" t="s">
        <v>454</v>
      </c>
      <c r="X1214" s="110"/>
      <c r="Y1214" s="188" t="e">
        <f>ROUND(Y1213/(Y$1205+Y$1207+Y$1209+Y$1211+Y$1213+Y$1215+Y$1217+Y$1219+Y$1221),3)</f>
        <v>#DIV/0!</v>
      </c>
      <c r="Z1214" s="189"/>
      <c r="AA1214" s="188" t="e">
        <f>ROUND(AA1213/(AA$1205+AA$1207+AA$1209+AA$1211+AA$1213+AA$1215+AA$1217+AA$1219+AA$1221),3)</f>
        <v>#DIV/0!</v>
      </c>
      <c r="AB1214" s="190"/>
      <c r="AC1214" s="188" t="e">
        <f>ROUND(AC1213/(AC$1205+AC$1207+AC$1209+AC$1211+AC$1213+AC$1215+AC$1217+AC$1219+AC$1221),3)</f>
        <v>#DIV/0!</v>
      </c>
      <c r="AD1214" s="191"/>
      <c r="AE1214" s="192" t="e">
        <f>ROUND(AE1213/(AE$1205+AE$1207+AE$1209+AE$1211+AE$1213+AE$1215+AE$1217+AE$1219+AE$1221),3)</f>
        <v>#DIV/0!</v>
      </c>
      <c r="AF1214" s="94"/>
      <c r="AG1214" s="188">
        <f>ROUND(AG1213/(AG$1021+AG$1023+AG$1025+AG$1027+AG$1031+AG$1033),3)</f>
        <v>3.7999999999999999E-2</v>
      </c>
      <c r="AH1214" s="191"/>
      <c r="AI1214" s="188">
        <f>ROUND(AI1213/(AI$1021+AI$1023+AI$1025+AI$1027+AI$1031+AI$1033),3)</f>
        <v>7.5999999999999998E-2</v>
      </c>
      <c r="AJ1214" s="193"/>
      <c r="AK1214" s="188">
        <f>ROUND(AK1213/(AK$1021+AK$1023+AK$1025+AK$1027+AK$1031+AK$1033),3)</f>
        <v>3.7999999999999999E-2</v>
      </c>
      <c r="AL1214" s="194"/>
      <c r="AM1214" s="188">
        <f>ROUND(AM1213/(AM$1021+AM$1025+AM$1023+AM$1027+AM$1031+AM$1033),3)</f>
        <v>3.3000000000000002E-2</v>
      </c>
      <c r="AN1214" s="229"/>
      <c r="AO1214" s="188">
        <v>2.8000000000000001E-2</v>
      </c>
    </row>
    <row r="1215" spans="23:41" x14ac:dyDescent="0.15">
      <c r="W1215" s="381" t="s">
        <v>455</v>
      </c>
      <c r="X1215" s="145"/>
      <c r="Y1215" s="179">
        <f>AA1215+AC1215+AE1215</f>
        <v>0</v>
      </c>
      <c r="Z1215" s="205"/>
      <c r="AA1215" s="57">
        <v>0</v>
      </c>
      <c r="AB1215" s="181"/>
      <c r="AC1215" s="182">
        <v>0</v>
      </c>
      <c r="AD1215" s="183"/>
      <c r="AE1215" s="184">
        <v>0</v>
      </c>
      <c r="AF1215" s="144">
        <v>6</v>
      </c>
      <c r="AG1215" s="179">
        <f>AI1215+AK1215+AM1215</f>
        <v>28</v>
      </c>
      <c r="AH1215" s="180">
        <v>5</v>
      </c>
      <c r="AI1215" s="57">
        <v>3</v>
      </c>
      <c r="AJ1215" s="181">
        <v>5</v>
      </c>
      <c r="AK1215" s="179">
        <v>6</v>
      </c>
      <c r="AL1215" s="186">
        <v>4</v>
      </c>
      <c r="AM1215" s="57">
        <v>19</v>
      </c>
      <c r="AN1215" s="222">
        <v>5</v>
      </c>
      <c r="AO1215" s="179">
        <v>16</v>
      </c>
    </row>
    <row r="1216" spans="23:41" x14ac:dyDescent="0.15">
      <c r="W1216" s="382"/>
      <c r="X1216" s="110"/>
      <c r="Y1216" s="188" t="e">
        <f>ROUND(Y1215/(Y$1205+Y$1207+Y$1209+Y$1211+Y$1213+Y$1215+Y$1217+Y$1219+Y$1221),3)</f>
        <v>#DIV/0!</v>
      </c>
      <c r="Z1216" s="189"/>
      <c r="AA1216" s="188" t="e">
        <f>ROUND(AA1215/(AA$1205+AA$1207+AA$1209+AA$1211+AA$1213+AA$1215+AA$1217+AA$1219+AA$1221),3)</f>
        <v>#DIV/0!</v>
      </c>
      <c r="AB1216" s="190"/>
      <c r="AC1216" s="188" t="e">
        <f>ROUND(AC1215/(AC$1205+AC$1207+AC$1209+AC$1211+AC$1213+AC$1215+AC$1217+AC$1219+AC$1221),3)</f>
        <v>#DIV/0!</v>
      </c>
      <c r="AD1216" s="191"/>
      <c r="AE1216" s="192" t="e">
        <f>ROUND(AE1215/(AE$1205+AE$1207+AE$1209+AE$1211+AE$1213+AE$1215+AE$1217+AE$1219+AE$1221),3)</f>
        <v>#DIV/0!</v>
      </c>
      <c r="AF1216" s="94"/>
      <c r="AG1216" s="188">
        <f>ROUND(AG1215/(AG$1021+AG$1023+AG$1025+AG$1027+AG$1031+AG$1033),3)</f>
        <v>3.6999999999999998E-2</v>
      </c>
      <c r="AH1216" s="191"/>
      <c r="AI1216" s="188">
        <f>ROUND(AI1215/(AI$1021+AI$1023+AI$1025+AI$1027+AI$1031+AI$1033),3)</f>
        <v>4.4999999999999998E-2</v>
      </c>
      <c r="AJ1216" s="193"/>
      <c r="AK1216" s="188">
        <f>ROUND(AK1215/(AK$1021+AK$1023+AK$1025+AK$1027+AK$1031+AK$1033),3)</f>
        <v>2.3E-2</v>
      </c>
      <c r="AL1216" s="194"/>
      <c r="AM1216" s="188">
        <f>ROUND(AM1215/(AM$1021+AM$1025+AM$1023+AM$1027+AM$1031+AM$1033),3)</f>
        <v>4.3999999999999997E-2</v>
      </c>
      <c r="AN1216" s="229"/>
      <c r="AO1216" s="188">
        <v>3.6999999999999998E-2</v>
      </c>
    </row>
    <row r="1217" spans="23:41" x14ac:dyDescent="0.15">
      <c r="W1217" s="224" t="s">
        <v>456</v>
      </c>
      <c r="X1217" s="145"/>
      <c r="Y1217" s="179">
        <f>AA1217+AC1217+AE1217</f>
        <v>0</v>
      </c>
      <c r="Z1217" s="321"/>
      <c r="AA1217" s="57">
        <v>0</v>
      </c>
      <c r="AB1217" s="203"/>
      <c r="AC1217" s="182">
        <v>0</v>
      </c>
      <c r="AD1217" s="205"/>
      <c r="AE1217" s="184">
        <v>0</v>
      </c>
      <c r="AF1217" s="144">
        <v>7</v>
      </c>
      <c r="AG1217" s="179">
        <f>AI1217+AK1217+AM1217</f>
        <v>14</v>
      </c>
      <c r="AH1217" s="180">
        <v>8</v>
      </c>
      <c r="AI1217" s="57">
        <v>1</v>
      </c>
      <c r="AJ1217" s="181">
        <v>7</v>
      </c>
      <c r="AK1217" s="179">
        <v>4</v>
      </c>
      <c r="AL1217" s="186">
        <v>7</v>
      </c>
      <c r="AM1217" s="57">
        <v>9</v>
      </c>
      <c r="AN1217" s="322">
        <v>3</v>
      </c>
      <c r="AO1217" s="57">
        <v>19</v>
      </c>
    </row>
    <row r="1218" spans="23:41" x14ac:dyDescent="0.15">
      <c r="W1218" s="225" t="s">
        <v>457</v>
      </c>
      <c r="X1218" s="110"/>
      <c r="Y1218" s="188" t="e">
        <f>ROUND(Y1217/(Y$1205+Y$1207+Y$1209+Y$1211+Y$1213+Y$1215+Y$1217+Y$1219+Y$1221),3)</f>
        <v>#DIV/0!</v>
      </c>
      <c r="Z1218" s="189"/>
      <c r="AA1218" s="188" t="e">
        <f>ROUND(AA1217/(AA$1205+AA$1207+AA$1209+AA$1211+AA$1213+AA$1215+AA$1217+AA$1219+AA$1221),3)</f>
        <v>#DIV/0!</v>
      </c>
      <c r="AB1218" s="190"/>
      <c r="AC1218" s="188" t="e">
        <f>ROUND(AC1217/(AC$1205+AC$1207+AC$1209+AC$1211+AC$1213+AC$1215+AC$1217+AC$1219+AC$1221),3)</f>
        <v>#DIV/0!</v>
      </c>
      <c r="AD1218" s="191"/>
      <c r="AE1218" s="192" t="e">
        <f>ROUND(AE1217/(AE$1205+AE$1207+AE$1209+AE$1211+AE$1213+AE$1215+AE$1217+AE$1219+AE$1221),3)</f>
        <v>#DIV/0!</v>
      </c>
      <c r="AF1218" s="94"/>
      <c r="AG1218" s="188">
        <f>ROUND(AG1217/(AG$1021+AG$1023+AG$1025+AG$1027+AG$1031+AG$1033),3)</f>
        <v>1.7999999999999999E-2</v>
      </c>
      <c r="AH1218" s="191"/>
      <c r="AI1218" s="188">
        <f>ROUND(AI1217/(AI$1021+AI$1023+AI$1025+AI$1027+AI$1031+AI$1033),3)</f>
        <v>1.4999999999999999E-2</v>
      </c>
      <c r="AJ1218" s="193"/>
      <c r="AK1218" s="188">
        <f>ROUND(AK1217/(AK$1021+AK$1023+AK$1025+AK$1027+AK$1031+AK$1033),3)</f>
        <v>1.4999999999999999E-2</v>
      </c>
      <c r="AL1218" s="194"/>
      <c r="AM1218" s="188">
        <f>ROUND(AM1217/(AM$1021+AM$1025+AM$1023+AM$1027+AM$1031+AM$1033),3)</f>
        <v>2.1000000000000001E-2</v>
      </c>
      <c r="AN1218" s="323"/>
      <c r="AO1218" s="188">
        <v>4.3999999999999997E-2</v>
      </c>
    </row>
    <row r="1219" spans="23:41" x14ac:dyDescent="0.15">
      <c r="W1219" s="383" t="s">
        <v>300</v>
      </c>
      <c r="X1219" s="201"/>
      <c r="Y1219" s="179">
        <f>AA1219+AC1219+AE1219</f>
        <v>0</v>
      </c>
      <c r="Z1219" s="202"/>
      <c r="AA1219" s="57">
        <v>0</v>
      </c>
      <c r="AB1219" s="203"/>
      <c r="AC1219" s="182">
        <v>0</v>
      </c>
      <c r="AD1219" s="183"/>
      <c r="AE1219" s="184">
        <v>0</v>
      </c>
      <c r="AF1219" s="100"/>
      <c r="AG1219" s="388" t="s">
        <v>41</v>
      </c>
      <c r="AH1219" s="319"/>
      <c r="AI1219" s="388" t="s">
        <v>41</v>
      </c>
      <c r="AJ1219" s="320"/>
      <c r="AK1219" s="388" t="s">
        <v>41</v>
      </c>
      <c r="AL1219" s="198"/>
      <c r="AM1219" s="390" t="s">
        <v>41</v>
      </c>
      <c r="AN1219" s="322"/>
      <c r="AO1219" s="392" t="s">
        <v>41</v>
      </c>
    </row>
    <row r="1220" spans="23:41" x14ac:dyDescent="0.15">
      <c r="W1220" s="383"/>
      <c r="X1220" s="206"/>
      <c r="Y1220" s="188" t="e">
        <f>ROUND(Y1219/(Y$1205+Y$1207+Y$1209+Y$1211+Y$1213+Y$1215+Y$1217+Y$1219+Y$1221),3)</f>
        <v>#DIV/0!</v>
      </c>
      <c r="Z1220" s="189"/>
      <c r="AA1220" s="188" t="e">
        <f>ROUND(AA1219/(AA$1205+AA$1207+AA$1209+AA$1211+AA$1213+AA$1215+AA$1217+AA$1219+AA$1221),3)</f>
        <v>#DIV/0!</v>
      </c>
      <c r="AB1220" s="190"/>
      <c r="AC1220" s="188" t="e">
        <f>ROUND(AC1219/(AC$1205+AC$1207+AC$1209+AC$1211+AC$1213+AC$1215+AC$1217+AC$1219+AC$1221),3)</f>
        <v>#DIV/0!</v>
      </c>
      <c r="AD1220" s="191"/>
      <c r="AE1220" s="192" t="e">
        <f>ROUND(AE1219/(AE$1205+AE$1207+AE$1209+AE$1211+AE$1213+AE$1215+AE$1217+AE$1219+AE$1221),3)</f>
        <v>#DIV/0!</v>
      </c>
      <c r="AF1220" s="331"/>
      <c r="AG1220" s="389"/>
      <c r="AH1220" s="189"/>
      <c r="AI1220" s="389"/>
      <c r="AJ1220" s="191"/>
      <c r="AK1220" s="389"/>
      <c r="AL1220" s="191"/>
      <c r="AM1220" s="391"/>
      <c r="AN1220" s="323"/>
      <c r="AO1220" s="393"/>
    </row>
    <row r="1221" spans="23:41" x14ac:dyDescent="0.15">
      <c r="W1221" s="383" t="s">
        <v>301</v>
      </c>
      <c r="X1221" s="201"/>
      <c r="Y1221" s="179">
        <f>AA1221+AC1221+AE1221</f>
        <v>0</v>
      </c>
      <c r="Z1221" s="202"/>
      <c r="AA1221" s="57">
        <v>0</v>
      </c>
      <c r="AB1221" s="203"/>
      <c r="AC1221" s="182">
        <v>0</v>
      </c>
      <c r="AD1221" s="183"/>
      <c r="AE1221" s="184">
        <v>0</v>
      </c>
      <c r="AF1221" s="100"/>
      <c r="AG1221" s="388" t="s">
        <v>41</v>
      </c>
      <c r="AH1221" s="319"/>
      <c r="AI1221" s="388" t="s">
        <v>41</v>
      </c>
      <c r="AJ1221" s="320"/>
      <c r="AK1221" s="388" t="s">
        <v>41</v>
      </c>
      <c r="AL1221" s="198"/>
      <c r="AM1221" s="390" t="s">
        <v>41</v>
      </c>
      <c r="AN1221" s="322"/>
      <c r="AO1221" s="392" t="s">
        <v>41</v>
      </c>
    </row>
    <row r="1222" spans="23:41" ht="14.25" thickBot="1" x14ac:dyDescent="0.2">
      <c r="W1222" s="383"/>
      <c r="X1222" s="239"/>
      <c r="Y1222" s="240" t="e">
        <f>ROUND(Y1221/(Y$1205+Y$1207+Y$1209+Y$1211+Y$1213+Y$1215+Y$1217+Y$1219+Y$1221),3)</f>
        <v>#DIV/0!</v>
      </c>
      <c r="Z1222" s="241"/>
      <c r="AA1222" s="240" t="e">
        <f>ROUND(AA1221/(AA$1205+AA$1207+AA$1209+AA$1211+AA$1213+AA$1215+AA$1217+AA$1219+AA$1221),3)</f>
        <v>#DIV/0!</v>
      </c>
      <c r="AB1222" s="332"/>
      <c r="AC1222" s="240" t="e">
        <f>ROUND(AC1221/(AC$1205+AC$1207+AC$1209+AC$1211+AC$1213+AC$1215+AC$1217+AC$1219+AC$1221),3)</f>
        <v>#DIV/0!</v>
      </c>
      <c r="AD1222" s="243"/>
      <c r="AE1222" s="244" t="e">
        <f>ROUND(AE1221/(AE$1205+AE$1207+AE$1209+AE$1211+AE$1213+AE$1215+AE$1217+AE$1219+AE$1221),3)</f>
        <v>#DIV/0!</v>
      </c>
      <c r="AF1222" s="331"/>
      <c r="AG1222" s="389"/>
      <c r="AH1222" s="189"/>
      <c r="AI1222" s="389"/>
      <c r="AJ1222" s="191"/>
      <c r="AK1222" s="389"/>
      <c r="AL1222" s="191"/>
      <c r="AM1222" s="391"/>
      <c r="AN1222" s="323"/>
      <c r="AO1222" s="393"/>
    </row>
  </sheetData>
  <mergeCells count="891">
    <mergeCell ref="A1:R1"/>
    <mergeCell ref="C10:L10"/>
    <mergeCell ref="C11:L11"/>
    <mergeCell ref="C12:L12"/>
    <mergeCell ref="D23:E24"/>
    <mergeCell ref="F23:I23"/>
    <mergeCell ref="J23:M23"/>
    <mergeCell ref="N23:Q23"/>
    <mergeCell ref="D51:E52"/>
    <mergeCell ref="J41:M41"/>
    <mergeCell ref="N41:Q41"/>
    <mergeCell ref="D43:E44"/>
    <mergeCell ref="D45:E46"/>
    <mergeCell ref="D47:E48"/>
    <mergeCell ref="D49:E50"/>
    <mergeCell ref="D25:E25"/>
    <mergeCell ref="D26:E26"/>
    <mergeCell ref="D27:D32"/>
    <mergeCell ref="D33:E33"/>
    <mergeCell ref="A38:I38"/>
    <mergeCell ref="D41:E42"/>
    <mergeCell ref="F41:I41"/>
    <mergeCell ref="N69:Q69"/>
    <mergeCell ref="D71:E72"/>
    <mergeCell ref="E73:E74"/>
    <mergeCell ref="D64:E65"/>
    <mergeCell ref="D60:E61"/>
    <mergeCell ref="D62:E63"/>
    <mergeCell ref="D53:E54"/>
    <mergeCell ref="D58:E59"/>
    <mergeCell ref="F58:I58"/>
    <mergeCell ref="J58:M58"/>
    <mergeCell ref="N58:Q58"/>
    <mergeCell ref="D81:E82"/>
    <mergeCell ref="D86:E87"/>
    <mergeCell ref="F86:I86"/>
    <mergeCell ref="J86:M86"/>
    <mergeCell ref="D79:E80"/>
    <mergeCell ref="E75:E76"/>
    <mergeCell ref="E77:E78"/>
    <mergeCell ref="D69:E70"/>
    <mergeCell ref="F69:I69"/>
    <mergeCell ref="J69:M69"/>
    <mergeCell ref="D98:E99"/>
    <mergeCell ref="F103:I103"/>
    <mergeCell ref="J103:M103"/>
    <mergeCell ref="D96:E97"/>
    <mergeCell ref="N86:Q86"/>
    <mergeCell ref="D88:E89"/>
    <mergeCell ref="E90:E91"/>
    <mergeCell ref="E92:E93"/>
    <mergeCell ref="E94:E95"/>
    <mergeCell ref="D123:E124"/>
    <mergeCell ref="F128:I128"/>
    <mergeCell ref="J128:M128"/>
    <mergeCell ref="N128:Q128"/>
    <mergeCell ref="D115:E116"/>
    <mergeCell ref="D117:E118"/>
    <mergeCell ref="D119:E120"/>
    <mergeCell ref="D121:E122"/>
    <mergeCell ref="N103:Q103"/>
    <mergeCell ref="D105:E106"/>
    <mergeCell ref="D107:E108"/>
    <mergeCell ref="D109:E110"/>
    <mergeCell ref="D111:E112"/>
    <mergeCell ref="D113:E114"/>
    <mergeCell ref="N152:Q152"/>
    <mergeCell ref="D154:E155"/>
    <mergeCell ref="E156:E157"/>
    <mergeCell ref="D142:E143"/>
    <mergeCell ref="D144:E145"/>
    <mergeCell ref="D146:E147"/>
    <mergeCell ref="D130:E131"/>
    <mergeCell ref="D132:E133"/>
    <mergeCell ref="D134:E135"/>
    <mergeCell ref="D136:E137"/>
    <mergeCell ref="D138:E139"/>
    <mergeCell ref="D140:E141"/>
    <mergeCell ref="E158:E159"/>
    <mergeCell ref="E160:E161"/>
    <mergeCell ref="E162:E163"/>
    <mergeCell ref="E164:E165"/>
    <mergeCell ref="E166:E167"/>
    <mergeCell ref="E168:E169"/>
    <mergeCell ref="D148:E149"/>
    <mergeCell ref="F152:I152"/>
    <mergeCell ref="J152:M152"/>
    <mergeCell ref="D183:E184"/>
    <mergeCell ref="D185:E186"/>
    <mergeCell ref="D187:E188"/>
    <mergeCell ref="D189:E190"/>
    <mergeCell ref="F194:I194"/>
    <mergeCell ref="J194:M194"/>
    <mergeCell ref="E170:E171"/>
    <mergeCell ref="E172:E173"/>
    <mergeCell ref="D174:E175"/>
    <mergeCell ref="D176:E177"/>
    <mergeCell ref="F181:I181"/>
    <mergeCell ref="J181:M181"/>
    <mergeCell ref="J211:M211"/>
    <mergeCell ref="E212:E213"/>
    <mergeCell ref="E214:E215"/>
    <mergeCell ref="N194:Q194"/>
    <mergeCell ref="D196:E197"/>
    <mergeCell ref="E198:E199"/>
    <mergeCell ref="E200:E201"/>
    <mergeCell ref="E202:E203"/>
    <mergeCell ref="E204:E205"/>
    <mergeCell ref="J204:J205"/>
    <mergeCell ref="K204:K205"/>
    <mergeCell ref="L204:L205"/>
    <mergeCell ref="M204:M205"/>
    <mergeCell ref="D216:E217"/>
    <mergeCell ref="D218:E219"/>
    <mergeCell ref="D221:E222"/>
    <mergeCell ref="D223:E224"/>
    <mergeCell ref="D228:E229"/>
    <mergeCell ref="F228:I228"/>
    <mergeCell ref="E206:E207"/>
    <mergeCell ref="E208:E209"/>
    <mergeCell ref="E210:E211"/>
    <mergeCell ref="J228:M228"/>
    <mergeCell ref="N228:Q228"/>
    <mergeCell ref="D230:E231"/>
    <mergeCell ref="D232:E233"/>
    <mergeCell ref="D234:E235"/>
    <mergeCell ref="F234:F235"/>
    <mergeCell ref="G234:G235"/>
    <mergeCell ref="H234:H235"/>
    <mergeCell ref="I234:I235"/>
    <mergeCell ref="J234:J235"/>
    <mergeCell ref="F249:I249"/>
    <mergeCell ref="J249:M249"/>
    <mergeCell ref="N249:Q249"/>
    <mergeCell ref="K234:K235"/>
    <mergeCell ref="L234:L235"/>
    <mergeCell ref="M234:M235"/>
    <mergeCell ref="D236:E237"/>
    <mergeCell ref="D241:E242"/>
    <mergeCell ref="F241:I241"/>
    <mergeCell ref="J241:M241"/>
    <mergeCell ref="D251:E252"/>
    <mergeCell ref="D253:E254"/>
    <mergeCell ref="D255:E256"/>
    <mergeCell ref="D257:E258"/>
    <mergeCell ref="D259:E260"/>
    <mergeCell ref="D261:E262"/>
    <mergeCell ref="D243:E244"/>
    <mergeCell ref="D245:E246"/>
    <mergeCell ref="D247:E247"/>
    <mergeCell ref="N268:Q268"/>
    <mergeCell ref="D270:E271"/>
    <mergeCell ref="D272:E273"/>
    <mergeCell ref="D274:E275"/>
    <mergeCell ref="D276:E277"/>
    <mergeCell ref="F281:I281"/>
    <mergeCell ref="J281:M281"/>
    <mergeCell ref="N281:Q281"/>
    <mergeCell ref="D263:E264"/>
    <mergeCell ref="F268:I268"/>
    <mergeCell ref="J268:M268"/>
    <mergeCell ref="F296:I296"/>
    <mergeCell ref="J296:M296"/>
    <mergeCell ref="N296:Q296"/>
    <mergeCell ref="D298:E299"/>
    <mergeCell ref="D300:E301"/>
    <mergeCell ref="D302:E303"/>
    <mergeCell ref="D283:E284"/>
    <mergeCell ref="D285:E286"/>
    <mergeCell ref="D287:E288"/>
    <mergeCell ref="D289:E290"/>
    <mergeCell ref="D291:E292"/>
    <mergeCell ref="D296:E297"/>
    <mergeCell ref="N313:Q313"/>
    <mergeCell ref="D315:E316"/>
    <mergeCell ref="D317:E318"/>
    <mergeCell ref="D319:E320"/>
    <mergeCell ref="D324:E325"/>
    <mergeCell ref="F324:I324"/>
    <mergeCell ref="J324:M324"/>
    <mergeCell ref="N324:Q324"/>
    <mergeCell ref="D304:E305"/>
    <mergeCell ref="D306:E307"/>
    <mergeCell ref="D308:E309"/>
    <mergeCell ref="D313:E314"/>
    <mergeCell ref="F313:I313"/>
    <mergeCell ref="J313:M313"/>
    <mergeCell ref="N375:Q375"/>
    <mergeCell ref="D377:E378"/>
    <mergeCell ref="O336:R336"/>
    <mergeCell ref="D338:F339"/>
    <mergeCell ref="D340:F341"/>
    <mergeCell ref="D342:F343"/>
    <mergeCell ref="D344:F345"/>
    <mergeCell ref="D346:F347"/>
    <mergeCell ref="D326:E327"/>
    <mergeCell ref="D328:E329"/>
    <mergeCell ref="D330:E331"/>
    <mergeCell ref="A333:H333"/>
    <mergeCell ref="G336:J336"/>
    <mergeCell ref="K336:N336"/>
    <mergeCell ref="D379:E380"/>
    <mergeCell ref="D381:E382"/>
    <mergeCell ref="D383:E384"/>
    <mergeCell ref="D390:E391"/>
    <mergeCell ref="F390:I390"/>
    <mergeCell ref="J390:M390"/>
    <mergeCell ref="D348:F349"/>
    <mergeCell ref="D350:F351"/>
    <mergeCell ref="F375:I375"/>
    <mergeCell ref="J375:M375"/>
    <mergeCell ref="G423:J423"/>
    <mergeCell ref="K423:N423"/>
    <mergeCell ref="O423:R423"/>
    <mergeCell ref="D425:F426"/>
    <mergeCell ref="D427:F428"/>
    <mergeCell ref="D429:F430"/>
    <mergeCell ref="N390:Q390"/>
    <mergeCell ref="D392:E393"/>
    <mergeCell ref="D394:E395"/>
    <mergeCell ref="D396:E397"/>
    <mergeCell ref="D398:E399"/>
    <mergeCell ref="D400:E401"/>
    <mergeCell ref="N448:Q448"/>
    <mergeCell ref="D450:E451"/>
    <mergeCell ref="D452:E453"/>
    <mergeCell ref="D431:F432"/>
    <mergeCell ref="D433:F434"/>
    <mergeCell ref="D435:F436"/>
    <mergeCell ref="D437:F438"/>
    <mergeCell ref="D439:F440"/>
    <mergeCell ref="D441:F442"/>
    <mergeCell ref="D454:E455"/>
    <mergeCell ref="D456:E457"/>
    <mergeCell ref="D458:E459"/>
    <mergeCell ref="D464:E465"/>
    <mergeCell ref="F464:I464"/>
    <mergeCell ref="J464:M464"/>
    <mergeCell ref="D448:E449"/>
    <mergeCell ref="F448:I448"/>
    <mergeCell ref="J448:M448"/>
    <mergeCell ref="D476:E477"/>
    <mergeCell ref="D478:E479"/>
    <mergeCell ref="D480:E481"/>
    <mergeCell ref="G486:J486"/>
    <mergeCell ref="K486:N486"/>
    <mergeCell ref="O486:R486"/>
    <mergeCell ref="N464:Q464"/>
    <mergeCell ref="D466:E467"/>
    <mergeCell ref="D468:E469"/>
    <mergeCell ref="D470:E471"/>
    <mergeCell ref="D472:E473"/>
    <mergeCell ref="D474:E475"/>
    <mergeCell ref="D500:F501"/>
    <mergeCell ref="D502:F503"/>
    <mergeCell ref="D504:F505"/>
    <mergeCell ref="D510:E511"/>
    <mergeCell ref="F510:I510"/>
    <mergeCell ref="J510:M510"/>
    <mergeCell ref="D488:F489"/>
    <mergeCell ref="D490:F491"/>
    <mergeCell ref="D492:F493"/>
    <mergeCell ref="D494:F495"/>
    <mergeCell ref="D496:F497"/>
    <mergeCell ref="D498:F499"/>
    <mergeCell ref="J528:M528"/>
    <mergeCell ref="N528:Q528"/>
    <mergeCell ref="D530:E531"/>
    <mergeCell ref="N510:Q510"/>
    <mergeCell ref="D512:E513"/>
    <mergeCell ref="D514:E515"/>
    <mergeCell ref="D516:E517"/>
    <mergeCell ref="D518:E519"/>
    <mergeCell ref="D520:E521"/>
    <mergeCell ref="D532:E533"/>
    <mergeCell ref="D534:E535"/>
    <mergeCell ref="D536:E537"/>
    <mergeCell ref="D538:E539"/>
    <mergeCell ref="D545:E546"/>
    <mergeCell ref="F545:I545"/>
    <mergeCell ref="D522:E523"/>
    <mergeCell ref="D528:E529"/>
    <mergeCell ref="F528:I528"/>
    <mergeCell ref="J561:M561"/>
    <mergeCell ref="N561:Q561"/>
    <mergeCell ref="D563:E564"/>
    <mergeCell ref="J545:M545"/>
    <mergeCell ref="N545:Q545"/>
    <mergeCell ref="D547:E548"/>
    <mergeCell ref="D549:E550"/>
    <mergeCell ref="D551:E552"/>
    <mergeCell ref="D553:E554"/>
    <mergeCell ref="D565:E566"/>
    <mergeCell ref="D567:E568"/>
    <mergeCell ref="D569:E570"/>
    <mergeCell ref="D571:E572"/>
    <mergeCell ref="D577:E578"/>
    <mergeCell ref="F577:I577"/>
    <mergeCell ref="D555:E556"/>
    <mergeCell ref="D561:E562"/>
    <mergeCell ref="F561:I561"/>
    <mergeCell ref="J593:M593"/>
    <mergeCell ref="N593:Q593"/>
    <mergeCell ref="D595:E596"/>
    <mergeCell ref="J577:M577"/>
    <mergeCell ref="N577:Q577"/>
    <mergeCell ref="D579:E580"/>
    <mergeCell ref="D581:E582"/>
    <mergeCell ref="D583:E584"/>
    <mergeCell ref="D585:E586"/>
    <mergeCell ref="D597:E598"/>
    <mergeCell ref="D599:E600"/>
    <mergeCell ref="D601:E602"/>
    <mergeCell ref="D603:E604"/>
    <mergeCell ref="D609:E610"/>
    <mergeCell ref="F609:I609"/>
    <mergeCell ref="D587:E588"/>
    <mergeCell ref="D593:E594"/>
    <mergeCell ref="F593:I593"/>
    <mergeCell ref="D619:E620"/>
    <mergeCell ref="D625:E626"/>
    <mergeCell ref="F625:I625"/>
    <mergeCell ref="J625:M625"/>
    <mergeCell ref="N625:Q625"/>
    <mergeCell ref="D627:E628"/>
    <mergeCell ref="J609:M609"/>
    <mergeCell ref="N609:Q609"/>
    <mergeCell ref="D611:E612"/>
    <mergeCell ref="D613:E614"/>
    <mergeCell ref="D615:E616"/>
    <mergeCell ref="D617:E618"/>
    <mergeCell ref="J641:M641"/>
    <mergeCell ref="N641:Q641"/>
    <mergeCell ref="D643:E644"/>
    <mergeCell ref="D645:E646"/>
    <mergeCell ref="D647:E648"/>
    <mergeCell ref="D649:E650"/>
    <mergeCell ref="D629:E630"/>
    <mergeCell ref="D631:E632"/>
    <mergeCell ref="D633:E634"/>
    <mergeCell ref="D635:E636"/>
    <mergeCell ref="D641:E642"/>
    <mergeCell ref="F641:I641"/>
    <mergeCell ref="AD657:AG657"/>
    <mergeCell ref="D659:E660"/>
    <mergeCell ref="X659:Y660"/>
    <mergeCell ref="D661:E662"/>
    <mergeCell ref="X661:Y662"/>
    <mergeCell ref="D663:E664"/>
    <mergeCell ref="X663:Y664"/>
    <mergeCell ref="D651:E652"/>
    <mergeCell ref="D657:E658"/>
    <mergeCell ref="F657:I657"/>
    <mergeCell ref="J657:M657"/>
    <mergeCell ref="X657:Y658"/>
    <mergeCell ref="Z657:AC657"/>
    <mergeCell ref="D693:E694"/>
    <mergeCell ref="D695:E696"/>
    <mergeCell ref="D697:E698"/>
    <mergeCell ref="G703:J703"/>
    <mergeCell ref="K703:N703"/>
    <mergeCell ref="O703:R703"/>
    <mergeCell ref="D665:E666"/>
    <mergeCell ref="X665:Y666"/>
    <mergeCell ref="D667:E668"/>
    <mergeCell ref="X667:Y668"/>
    <mergeCell ref="A688:G688"/>
    <mergeCell ref="D691:E692"/>
    <mergeCell ref="F691:I691"/>
    <mergeCell ref="J691:M691"/>
    <mergeCell ref="N691:Q691"/>
    <mergeCell ref="AG703:AL703"/>
    <mergeCell ref="D705:F706"/>
    <mergeCell ref="AD705:AF706"/>
    <mergeCell ref="AG705:AH705"/>
    <mergeCell ref="AG706:AH706"/>
    <mergeCell ref="D707:F708"/>
    <mergeCell ref="AD707:AF708"/>
    <mergeCell ref="AG707:AH707"/>
    <mergeCell ref="AG708:AH708"/>
    <mergeCell ref="D715:F716"/>
    <mergeCell ref="AD715:AF716"/>
    <mergeCell ref="AG715:AH715"/>
    <mergeCell ref="AG716:AH716"/>
    <mergeCell ref="D717:F718"/>
    <mergeCell ref="AD717:AF718"/>
    <mergeCell ref="AG717:AH717"/>
    <mergeCell ref="AG718:AH718"/>
    <mergeCell ref="D709:F710"/>
    <mergeCell ref="AD709:AF710"/>
    <mergeCell ref="AG709:AH709"/>
    <mergeCell ref="AG710:AH710"/>
    <mergeCell ref="D711:F712"/>
    <mergeCell ref="D713:F714"/>
    <mergeCell ref="AD713:AF714"/>
    <mergeCell ref="AG713:AH713"/>
    <mergeCell ref="AG714:AH714"/>
    <mergeCell ref="AG723:AH723"/>
    <mergeCell ref="AG724:AH724"/>
    <mergeCell ref="Z725:AB726"/>
    <mergeCell ref="AC725:AD725"/>
    <mergeCell ref="AC726:AD726"/>
    <mergeCell ref="D719:F720"/>
    <mergeCell ref="AD719:AF720"/>
    <mergeCell ref="AG719:AH719"/>
    <mergeCell ref="AG720:AH720"/>
    <mergeCell ref="D721:F722"/>
    <mergeCell ref="AD721:AF722"/>
    <mergeCell ref="AG721:AH721"/>
    <mergeCell ref="AG722:AH722"/>
    <mergeCell ref="AA741:AB742"/>
    <mergeCell ref="AC741:AF741"/>
    <mergeCell ref="D729:E730"/>
    <mergeCell ref="F729:I729"/>
    <mergeCell ref="J729:M729"/>
    <mergeCell ref="N729:Q729"/>
    <mergeCell ref="D731:E732"/>
    <mergeCell ref="D733:E734"/>
    <mergeCell ref="D723:F724"/>
    <mergeCell ref="AD723:AF724"/>
    <mergeCell ref="W746:X747"/>
    <mergeCell ref="H748:K748"/>
    <mergeCell ref="L748:O748"/>
    <mergeCell ref="P748:S748"/>
    <mergeCell ref="W748:X749"/>
    <mergeCell ref="D750:G751"/>
    <mergeCell ref="W750:X751"/>
    <mergeCell ref="D735:E736"/>
    <mergeCell ref="D737:E738"/>
    <mergeCell ref="D739:E740"/>
    <mergeCell ref="D741:E742"/>
    <mergeCell ref="D758:G759"/>
    <mergeCell ref="W758:X759"/>
    <mergeCell ref="D760:G761"/>
    <mergeCell ref="D762:G763"/>
    <mergeCell ref="D764:G765"/>
    <mergeCell ref="D766:G767"/>
    <mergeCell ref="D752:G753"/>
    <mergeCell ref="W752:X753"/>
    <mergeCell ref="D754:G755"/>
    <mergeCell ref="W754:X755"/>
    <mergeCell ref="D756:G757"/>
    <mergeCell ref="W756:X757"/>
    <mergeCell ref="M768:M769"/>
    <mergeCell ref="N768:N769"/>
    <mergeCell ref="O768:O769"/>
    <mergeCell ref="D770:G771"/>
    <mergeCell ref="H797:K797"/>
    <mergeCell ref="L797:O797"/>
    <mergeCell ref="D768:G769"/>
    <mergeCell ref="H768:H769"/>
    <mergeCell ref="I768:I769"/>
    <mergeCell ref="J768:J769"/>
    <mergeCell ref="K768:K769"/>
    <mergeCell ref="L768:L769"/>
    <mergeCell ref="D809:G810"/>
    <mergeCell ref="D811:G812"/>
    <mergeCell ref="D813:G814"/>
    <mergeCell ref="H813:H814"/>
    <mergeCell ref="I813:I814"/>
    <mergeCell ref="J813:J814"/>
    <mergeCell ref="P797:S797"/>
    <mergeCell ref="D799:G800"/>
    <mergeCell ref="D801:G802"/>
    <mergeCell ref="D803:G804"/>
    <mergeCell ref="D805:G806"/>
    <mergeCell ref="D807:G808"/>
    <mergeCell ref="H843:K843"/>
    <mergeCell ref="L843:O843"/>
    <mergeCell ref="D845:G846"/>
    <mergeCell ref="D847:G848"/>
    <mergeCell ref="D849:G850"/>
    <mergeCell ref="D851:G852"/>
    <mergeCell ref="K813:K814"/>
    <mergeCell ref="L813:L814"/>
    <mergeCell ref="M813:M814"/>
    <mergeCell ref="N813:N814"/>
    <mergeCell ref="O813:O814"/>
    <mergeCell ref="D815:G816"/>
    <mergeCell ref="H898:K898"/>
    <mergeCell ref="L898:O898"/>
    <mergeCell ref="P898:S898"/>
    <mergeCell ref="D900:G901"/>
    <mergeCell ref="D902:G903"/>
    <mergeCell ref="D904:G905"/>
    <mergeCell ref="D853:G854"/>
    <mergeCell ref="D855:G856"/>
    <mergeCell ref="D857:G858"/>
    <mergeCell ref="D859:G860"/>
    <mergeCell ref="D861:G862"/>
    <mergeCell ref="D863:G864"/>
    <mergeCell ref="AE965:AH965"/>
    <mergeCell ref="AI965:AL965"/>
    <mergeCell ref="Y967:Z968"/>
    <mergeCell ref="D906:G907"/>
    <mergeCell ref="D908:G909"/>
    <mergeCell ref="T908:T909"/>
    <mergeCell ref="D910:G911"/>
    <mergeCell ref="D912:G913"/>
    <mergeCell ref="D914:G915"/>
    <mergeCell ref="T914:T915"/>
    <mergeCell ref="Y969:Z970"/>
    <mergeCell ref="Y971:Z972"/>
    <mergeCell ref="Y973:Z974"/>
    <mergeCell ref="Y975:Z976"/>
    <mergeCell ref="Y977:Z978"/>
    <mergeCell ref="Y979:Z980"/>
    <mergeCell ref="D916:G917"/>
    <mergeCell ref="Y965:Z966"/>
    <mergeCell ref="AA965:AD965"/>
    <mergeCell ref="D989:E990"/>
    <mergeCell ref="D991:E992"/>
    <mergeCell ref="D993:E994"/>
    <mergeCell ref="D995:E996"/>
    <mergeCell ref="D997:E997"/>
    <mergeCell ref="D998:E999"/>
    <mergeCell ref="B982:Q982"/>
    <mergeCell ref="D985:E986"/>
    <mergeCell ref="F985:I985"/>
    <mergeCell ref="J985:M985"/>
    <mergeCell ref="N985:Q985"/>
    <mergeCell ref="D987:E988"/>
    <mergeCell ref="D1010:E1011"/>
    <mergeCell ref="D1012:E1013"/>
    <mergeCell ref="D1014:E1015"/>
    <mergeCell ref="K1019:R1019"/>
    <mergeCell ref="Y1019:AE1019"/>
    <mergeCell ref="AG1019:AM1019"/>
    <mergeCell ref="D1004:E1005"/>
    <mergeCell ref="F1004:I1004"/>
    <mergeCell ref="J1004:M1004"/>
    <mergeCell ref="N1004:Q1004"/>
    <mergeCell ref="D1006:E1007"/>
    <mergeCell ref="D1008:E1009"/>
    <mergeCell ref="B1025:E1026"/>
    <mergeCell ref="W1025:W1026"/>
    <mergeCell ref="B1027:E1027"/>
    <mergeCell ref="B1028:E1028"/>
    <mergeCell ref="B1029:E1030"/>
    <mergeCell ref="W1029:W1030"/>
    <mergeCell ref="AJ1020:AK1020"/>
    <mergeCell ref="AL1020:AM1020"/>
    <mergeCell ref="B1021:E1022"/>
    <mergeCell ref="W1021:W1022"/>
    <mergeCell ref="B1023:E1024"/>
    <mergeCell ref="W1023:W1024"/>
    <mergeCell ref="L1020:M1020"/>
    <mergeCell ref="P1020:Q1020"/>
    <mergeCell ref="Z1020:AA1020"/>
    <mergeCell ref="AB1020:AC1020"/>
    <mergeCell ref="AD1020:AE1020"/>
    <mergeCell ref="AH1020:AI1020"/>
    <mergeCell ref="B1033:E1034"/>
    <mergeCell ref="W1033:W1034"/>
    <mergeCell ref="B1035:E1036"/>
    <mergeCell ref="W1035:W1036"/>
    <mergeCell ref="Y1040:AE1040"/>
    <mergeCell ref="AG1040:AM1040"/>
    <mergeCell ref="AG1029:AG1030"/>
    <mergeCell ref="AI1029:AI1030"/>
    <mergeCell ref="AK1029:AK1030"/>
    <mergeCell ref="AM1029:AM1030"/>
    <mergeCell ref="B1031:E1032"/>
    <mergeCell ref="W1031:W1032"/>
    <mergeCell ref="W1042:W1043"/>
    <mergeCell ref="AG1042:AG1043"/>
    <mergeCell ref="AI1042:AI1043"/>
    <mergeCell ref="AK1042:AK1043"/>
    <mergeCell ref="AM1042:AM1043"/>
    <mergeCell ref="AO1042:AO1043"/>
    <mergeCell ref="AN1040:AO1040"/>
    <mergeCell ref="Z1041:AA1041"/>
    <mergeCell ref="AB1041:AC1041"/>
    <mergeCell ref="AD1041:AE1041"/>
    <mergeCell ref="AH1041:AI1041"/>
    <mergeCell ref="AJ1041:AK1041"/>
    <mergeCell ref="AL1041:AM1041"/>
    <mergeCell ref="AN1041:AO1041"/>
    <mergeCell ref="AO1054:AO1055"/>
    <mergeCell ref="D1055:D1056"/>
    <mergeCell ref="E1055:I1056"/>
    <mergeCell ref="W1056:W1057"/>
    <mergeCell ref="AO1056:AO1057"/>
    <mergeCell ref="D1057:D1058"/>
    <mergeCell ref="E1057:I1058"/>
    <mergeCell ref="D1049:I1050"/>
    <mergeCell ref="J1049:R1049"/>
    <mergeCell ref="L1050:M1050"/>
    <mergeCell ref="P1050:Q1050"/>
    <mergeCell ref="W1050:W1051"/>
    <mergeCell ref="D1051:D1052"/>
    <mergeCell ref="E1051:I1052"/>
    <mergeCell ref="W1058:W1059"/>
    <mergeCell ref="D1059:D1060"/>
    <mergeCell ref="E1059:I1060"/>
    <mergeCell ref="D1061:D1062"/>
    <mergeCell ref="E1061:I1062"/>
    <mergeCell ref="D1063:D1064"/>
    <mergeCell ref="E1063:I1064"/>
    <mergeCell ref="D1053:D1054"/>
    <mergeCell ref="E1053:I1054"/>
    <mergeCell ref="W1054:W1055"/>
    <mergeCell ref="Y1063:AE1063"/>
    <mergeCell ref="AG1063:AM1063"/>
    <mergeCell ref="AN1063:AO1063"/>
    <mergeCell ref="Z1064:AA1064"/>
    <mergeCell ref="AB1064:AC1064"/>
    <mergeCell ref="AD1064:AE1064"/>
    <mergeCell ref="AH1064:AI1064"/>
    <mergeCell ref="AJ1064:AK1064"/>
    <mergeCell ref="AL1064:AM1064"/>
    <mergeCell ref="AN1064:AO1064"/>
    <mergeCell ref="D1071:I1071"/>
    <mergeCell ref="W1075:W1076"/>
    <mergeCell ref="L1076:M1076"/>
    <mergeCell ref="P1076:Q1076"/>
    <mergeCell ref="AO1065:AO1066"/>
    <mergeCell ref="D1067:D1068"/>
    <mergeCell ref="E1067:I1068"/>
    <mergeCell ref="D1069:D1070"/>
    <mergeCell ref="E1069:I1070"/>
    <mergeCell ref="W1069:W1070"/>
    <mergeCell ref="D1065:D1066"/>
    <mergeCell ref="E1065:I1066"/>
    <mergeCell ref="AG1065:AG1066"/>
    <mergeCell ref="AI1065:AI1066"/>
    <mergeCell ref="AK1065:AK1066"/>
    <mergeCell ref="AM1065:AM1066"/>
    <mergeCell ref="C1077:C1078"/>
    <mergeCell ref="D1077:D1078"/>
    <mergeCell ref="E1077:I1078"/>
    <mergeCell ref="W1077:W1078"/>
    <mergeCell ref="AO1077:AO1078"/>
    <mergeCell ref="C1079:C1080"/>
    <mergeCell ref="D1079:D1080"/>
    <mergeCell ref="E1079:I1080"/>
    <mergeCell ref="W1079:W1080"/>
    <mergeCell ref="AO1079:AO1080"/>
    <mergeCell ref="C1085:C1086"/>
    <mergeCell ref="D1085:D1086"/>
    <mergeCell ref="E1085:I1086"/>
    <mergeCell ref="Y1086:AE1086"/>
    <mergeCell ref="AG1086:AM1086"/>
    <mergeCell ref="AN1086:AO1086"/>
    <mergeCell ref="C1081:C1082"/>
    <mergeCell ref="D1081:D1082"/>
    <mergeCell ref="E1081:I1082"/>
    <mergeCell ref="W1081:W1082"/>
    <mergeCell ref="C1083:C1084"/>
    <mergeCell ref="D1083:D1084"/>
    <mergeCell ref="E1083:I1084"/>
    <mergeCell ref="AN1087:AO1087"/>
    <mergeCell ref="W1088:W1089"/>
    <mergeCell ref="AG1088:AG1089"/>
    <mergeCell ref="AI1088:AI1089"/>
    <mergeCell ref="AK1088:AK1089"/>
    <mergeCell ref="AM1088:AM1089"/>
    <mergeCell ref="AO1088:AO1089"/>
    <mergeCell ref="C1087:C1088"/>
    <mergeCell ref="D1087:D1088"/>
    <mergeCell ref="E1087:I1088"/>
    <mergeCell ref="Z1087:AA1087"/>
    <mergeCell ref="AB1087:AC1087"/>
    <mergeCell ref="AD1087:AE1087"/>
    <mergeCell ref="C1089:C1090"/>
    <mergeCell ref="D1089:D1090"/>
    <mergeCell ref="E1089:I1090"/>
    <mergeCell ref="C1091:C1092"/>
    <mergeCell ref="D1091:D1092"/>
    <mergeCell ref="E1091:I1092"/>
    <mergeCell ref="AH1087:AI1087"/>
    <mergeCell ref="AJ1087:AK1087"/>
    <mergeCell ref="AL1087:AM1087"/>
    <mergeCell ref="W1092:W1093"/>
    <mergeCell ref="C1093:C1094"/>
    <mergeCell ref="D1093:D1094"/>
    <mergeCell ref="E1093:I1094"/>
    <mergeCell ref="C1095:C1096"/>
    <mergeCell ref="D1095:D1096"/>
    <mergeCell ref="E1095:I1096"/>
    <mergeCell ref="W1096:W1097"/>
    <mergeCell ref="C1097:C1098"/>
    <mergeCell ref="D1097:D1098"/>
    <mergeCell ref="E1097:I1098"/>
    <mergeCell ref="W1098:W1099"/>
    <mergeCell ref="C1099:C1100"/>
    <mergeCell ref="D1099:D1100"/>
    <mergeCell ref="E1099:I1100"/>
    <mergeCell ref="W1100:W1101"/>
    <mergeCell ref="C1101:C1102"/>
    <mergeCell ref="D1101:D1102"/>
    <mergeCell ref="E1101:I1102"/>
    <mergeCell ref="W1102:W1103"/>
    <mergeCell ref="C1107:C1108"/>
    <mergeCell ref="D1107:D1108"/>
    <mergeCell ref="E1107:I1108"/>
    <mergeCell ref="C1109:C1110"/>
    <mergeCell ref="D1109:D1110"/>
    <mergeCell ref="E1109:I1110"/>
    <mergeCell ref="AO1102:AO1103"/>
    <mergeCell ref="C1103:C1104"/>
    <mergeCell ref="D1103:D1104"/>
    <mergeCell ref="E1103:I1104"/>
    <mergeCell ref="W1104:W1105"/>
    <mergeCell ref="AO1104:AO1105"/>
    <mergeCell ref="C1105:C1106"/>
    <mergeCell ref="D1105:D1106"/>
    <mergeCell ref="E1105:I1106"/>
    <mergeCell ref="W1106:W1107"/>
    <mergeCell ref="AL1112:AM1112"/>
    <mergeCell ref="AN1112:AO1112"/>
    <mergeCell ref="C1113:C1114"/>
    <mergeCell ref="D1113:D1114"/>
    <mergeCell ref="E1113:I1114"/>
    <mergeCell ref="W1113:W1114"/>
    <mergeCell ref="C1111:C1112"/>
    <mergeCell ref="D1111:D1112"/>
    <mergeCell ref="E1111:I1112"/>
    <mergeCell ref="Y1111:AE1111"/>
    <mergeCell ref="AG1111:AM1111"/>
    <mergeCell ref="AN1111:AO1111"/>
    <mergeCell ref="Z1112:AA1112"/>
    <mergeCell ref="AB1112:AC1112"/>
    <mergeCell ref="AD1112:AE1112"/>
    <mergeCell ref="AH1112:AI1112"/>
    <mergeCell ref="C1115:C1116"/>
    <mergeCell ref="D1115:D1116"/>
    <mergeCell ref="E1115:I1116"/>
    <mergeCell ref="W1115:W1116"/>
    <mergeCell ref="C1117:C1118"/>
    <mergeCell ref="D1117:D1118"/>
    <mergeCell ref="E1117:I1118"/>
    <mergeCell ref="W1117:W1118"/>
    <mergeCell ref="AJ1112:AK1112"/>
    <mergeCell ref="C1128:C1129"/>
    <mergeCell ref="D1128:D1129"/>
    <mergeCell ref="E1128:I1129"/>
    <mergeCell ref="C1130:C1131"/>
    <mergeCell ref="D1130:D1131"/>
    <mergeCell ref="E1130:I1131"/>
    <mergeCell ref="AA1123:AA1124"/>
    <mergeCell ref="AC1123:AC1124"/>
    <mergeCell ref="AE1123:AE1124"/>
    <mergeCell ref="D1126:I1127"/>
    <mergeCell ref="J1126:R1126"/>
    <mergeCell ref="L1127:M1127"/>
    <mergeCell ref="P1127:Q1127"/>
    <mergeCell ref="W1127:W1128"/>
    <mergeCell ref="W1123:W1124"/>
    <mergeCell ref="Y1123:Y1124"/>
    <mergeCell ref="AK1133:AK1134"/>
    <mergeCell ref="AM1133:AM1134"/>
    <mergeCell ref="AO1133:AO1134"/>
    <mergeCell ref="C1134:C1135"/>
    <mergeCell ref="D1134:D1135"/>
    <mergeCell ref="E1134:I1135"/>
    <mergeCell ref="W1135:W1136"/>
    <mergeCell ref="AG1135:AG1136"/>
    <mergeCell ref="AI1135:AI1136"/>
    <mergeCell ref="AK1135:AK1136"/>
    <mergeCell ref="C1132:C1133"/>
    <mergeCell ref="D1132:D1133"/>
    <mergeCell ref="E1132:I1133"/>
    <mergeCell ref="W1133:W1134"/>
    <mergeCell ref="AG1133:AG1134"/>
    <mergeCell ref="AI1133:AI1134"/>
    <mergeCell ref="Z1141:AA1141"/>
    <mergeCell ref="AB1141:AC1141"/>
    <mergeCell ref="AD1141:AE1141"/>
    <mergeCell ref="AH1141:AI1141"/>
    <mergeCell ref="AM1135:AM1136"/>
    <mergeCell ref="AO1135:AO1136"/>
    <mergeCell ref="C1136:C1137"/>
    <mergeCell ref="D1136:D1137"/>
    <mergeCell ref="E1136:I1137"/>
    <mergeCell ref="C1138:C1139"/>
    <mergeCell ref="D1138:D1139"/>
    <mergeCell ref="E1138:I1139"/>
    <mergeCell ref="AM1142:AM1143"/>
    <mergeCell ref="AO1142:AO1143"/>
    <mergeCell ref="C1144:C1145"/>
    <mergeCell ref="D1144:D1145"/>
    <mergeCell ref="E1144:I1145"/>
    <mergeCell ref="C1146:C1147"/>
    <mergeCell ref="D1146:D1147"/>
    <mergeCell ref="E1146:I1147"/>
    <mergeCell ref="AJ1141:AK1141"/>
    <mergeCell ref="AL1141:AM1141"/>
    <mergeCell ref="AN1141:AO1141"/>
    <mergeCell ref="C1142:C1143"/>
    <mergeCell ref="D1142:D1143"/>
    <mergeCell ref="E1142:I1143"/>
    <mergeCell ref="W1142:W1143"/>
    <mergeCell ref="AG1142:AG1143"/>
    <mergeCell ref="AI1142:AI1143"/>
    <mergeCell ref="AK1142:AK1143"/>
    <mergeCell ref="C1140:C1141"/>
    <mergeCell ref="D1140:D1141"/>
    <mergeCell ref="E1140:I1141"/>
    <mergeCell ref="Y1140:AE1140"/>
    <mergeCell ref="AG1140:AM1140"/>
    <mergeCell ref="AN1140:AO1140"/>
    <mergeCell ref="AO1154:AO1155"/>
    <mergeCell ref="D1155:E1155"/>
    <mergeCell ref="W1156:W1157"/>
    <mergeCell ref="AO1156:AO1157"/>
    <mergeCell ref="C1148:C1149"/>
    <mergeCell ref="D1148:D1149"/>
    <mergeCell ref="E1148:I1149"/>
    <mergeCell ref="C1150:C1151"/>
    <mergeCell ref="D1150:D1151"/>
    <mergeCell ref="E1150:I1151"/>
    <mergeCell ref="Y1161:AE1161"/>
    <mergeCell ref="D1162:I1163"/>
    <mergeCell ref="J1162:R1162"/>
    <mergeCell ref="Z1162:AA1162"/>
    <mergeCell ref="AB1162:AC1162"/>
    <mergeCell ref="AD1162:AE1162"/>
    <mergeCell ref="L1163:M1163"/>
    <mergeCell ref="P1163:Q1163"/>
    <mergeCell ref="D1152:I1152"/>
    <mergeCell ref="D1153:I1153"/>
    <mergeCell ref="W1154:W1155"/>
    <mergeCell ref="Y1180:AE1180"/>
    <mergeCell ref="D1181:I1181"/>
    <mergeCell ref="Z1181:AA1181"/>
    <mergeCell ref="AB1181:AC1181"/>
    <mergeCell ref="AD1181:AE1181"/>
    <mergeCell ref="Z1204:AA1204"/>
    <mergeCell ref="AB1204:AC1204"/>
    <mergeCell ref="AD1204:AE1204"/>
    <mergeCell ref="D1170:D1171"/>
    <mergeCell ref="E1170:I1171"/>
    <mergeCell ref="W1171:W1172"/>
    <mergeCell ref="D1172:D1173"/>
    <mergeCell ref="E1172:I1173"/>
    <mergeCell ref="W1173:W1174"/>
    <mergeCell ref="D1174:D1175"/>
    <mergeCell ref="E1174:I1175"/>
    <mergeCell ref="W1175:W1176"/>
    <mergeCell ref="D1176:D1177"/>
    <mergeCell ref="E1176:I1177"/>
    <mergeCell ref="W1182:W1183"/>
    <mergeCell ref="D1183:E1183"/>
    <mergeCell ref="W1184:W1185"/>
    <mergeCell ref="W1188:W1189"/>
    <mergeCell ref="W1190:W1191"/>
    <mergeCell ref="W1192:W1193"/>
    <mergeCell ref="P843:S843"/>
    <mergeCell ref="D1178:D1179"/>
    <mergeCell ref="E1178:I1179"/>
    <mergeCell ref="D1180:I1180"/>
    <mergeCell ref="D1164:D1165"/>
    <mergeCell ref="E1164:I1165"/>
    <mergeCell ref="D1166:D1167"/>
    <mergeCell ref="E1166:I1167"/>
    <mergeCell ref="D1168:D1169"/>
    <mergeCell ref="E1168:I1169"/>
    <mergeCell ref="D1119:D1120"/>
    <mergeCell ref="E1119:I1120"/>
    <mergeCell ref="D1121:I1121"/>
    <mergeCell ref="D1122:I1122"/>
    <mergeCell ref="D1072:I1072"/>
    <mergeCell ref="W1073:W1074"/>
    <mergeCell ref="D1075:I1076"/>
    <mergeCell ref="J1075:R1075"/>
    <mergeCell ref="W1221:W1222"/>
    <mergeCell ref="AG1221:AG1222"/>
    <mergeCell ref="AI1221:AI1222"/>
    <mergeCell ref="AK1221:AK1222"/>
    <mergeCell ref="AM1221:AM1222"/>
    <mergeCell ref="AO1221:AO1222"/>
    <mergeCell ref="W1219:W1220"/>
    <mergeCell ref="AG1219:AG1220"/>
    <mergeCell ref="AI1219:AI1220"/>
    <mergeCell ref="AK1219:AK1220"/>
    <mergeCell ref="AM1219:AM1220"/>
    <mergeCell ref="AO1219:AO1220"/>
    <mergeCell ref="AL1204:AM1204"/>
    <mergeCell ref="AN1204:AO1204"/>
    <mergeCell ref="W1205:W1206"/>
    <mergeCell ref="W1209:W1210"/>
    <mergeCell ref="W1211:W1212"/>
    <mergeCell ref="W1215:W1216"/>
    <mergeCell ref="W1194:W1195"/>
    <mergeCell ref="W1196:W1197"/>
    <mergeCell ref="Y1203:AE1203"/>
    <mergeCell ref="AG1203:AM1203"/>
    <mergeCell ref="AN1203:AO1203"/>
    <mergeCell ref="AH1204:AI1204"/>
    <mergeCell ref="AJ1204:AK1204"/>
  </mergeCells>
  <phoneticPr fontId="1"/>
  <printOptions horizontalCentered="1"/>
  <pageMargins left="0.31496062992125984" right="0.15748031496062992" top="0.35433070866141736" bottom="0.35433070866141736" header="0.31496062992125984" footer="0.31496062992125984"/>
  <pageSetup paperSize="9" scale="60" orientation="portrait" r:id="rId1"/>
  <headerFooter>
    <oddFooter>&amp;C- &amp;P -</oddFooter>
  </headerFooter>
  <rowBreaks count="12" manualBreakCount="12">
    <brk id="83" max="18" man="1"/>
    <brk id="150" max="18" man="1"/>
    <brk id="247" max="18" man="1"/>
    <brk id="331" max="18" man="1"/>
    <brk id="420" max="18" man="1"/>
    <brk id="507" max="18" man="1"/>
    <brk id="590" max="18" man="1"/>
    <brk id="685" max="18" man="1"/>
    <brk id="744" max="18" man="1"/>
    <brk id="841" max="18" man="1"/>
    <brk id="895" max="18" man="1"/>
    <brk id="1002" max="36" man="1"/>
  </rowBreaks>
  <colBreaks count="1" manualBreakCount="1">
    <brk id="22" max="69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公表ベース</vt:lpstr>
      <vt:lpstr>公表ベース!Print_Area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向田＿綾奈（臨床研修係）</cp:lastModifiedBy>
  <cp:lastPrinted>2022-02-22T01:07:08Z</cp:lastPrinted>
  <dcterms:created xsi:type="dcterms:W3CDTF">2017-11-15T12:02:02Z</dcterms:created>
  <dcterms:modified xsi:type="dcterms:W3CDTF">2022-02-24T02:37:41Z</dcterms:modified>
</cp:coreProperties>
</file>