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010庶務\011各種アンケート調査\令和元年度調査\01 勤務医アンケート調査\02 集計作業\作業中\オープンデータ用（R2.4.24)\"/>
    </mc:Choice>
  </mc:AlternateContent>
  <bookViews>
    <workbookView xWindow="0" yWindow="0" windowWidth="15360" windowHeight="7815" tabRatio="872"/>
  </bookViews>
  <sheets>
    <sheet name="公表ベース（グラフ付き）" sheetId="19" r:id="rId1"/>
  </sheets>
  <definedNames>
    <definedName name="_xlnm.Print_Area" localSheetId="0">'公表ベース（グラフ付き）'!$A$1:$S$897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9" l="1"/>
  <c r="G644" i="19" l="1"/>
  <c r="G642" i="19"/>
  <c r="F544" i="19"/>
  <c r="F110" i="19"/>
  <c r="I96" i="19"/>
  <c r="H96" i="19"/>
  <c r="G96" i="19"/>
  <c r="F96" i="19"/>
  <c r="F97" i="19" s="1"/>
  <c r="I97" i="19"/>
  <c r="H97" i="19"/>
  <c r="G97" i="19"/>
  <c r="I75" i="19"/>
  <c r="I76" i="19" s="1"/>
  <c r="H75" i="19"/>
  <c r="H76" i="19" s="1"/>
  <c r="G75" i="19"/>
  <c r="G76" i="19" s="1"/>
  <c r="F75" i="19"/>
  <c r="I89" i="19"/>
  <c r="H89" i="19"/>
  <c r="G89" i="19"/>
  <c r="I86" i="19"/>
  <c r="H86" i="19"/>
  <c r="G86" i="19"/>
  <c r="F85" i="19"/>
  <c r="I33" i="19"/>
  <c r="H33" i="19"/>
  <c r="G33" i="19"/>
  <c r="F33" i="19"/>
  <c r="F26" i="19"/>
  <c r="F86" i="19" l="1"/>
  <c r="F76" i="19"/>
  <c r="F89" i="19"/>
  <c r="I182" i="19"/>
  <c r="H182" i="19"/>
  <c r="G182" i="19"/>
  <c r="I180" i="19"/>
  <c r="H180" i="19"/>
  <c r="G180" i="19"/>
  <c r="I178" i="19"/>
  <c r="H178" i="19"/>
  <c r="G178" i="19"/>
  <c r="I176" i="19"/>
  <c r="H176" i="19"/>
  <c r="G176" i="19"/>
  <c r="I174" i="19"/>
  <c r="H174" i="19"/>
  <c r="G174" i="19"/>
  <c r="I172" i="19"/>
  <c r="H172" i="19"/>
  <c r="G172" i="19"/>
  <c r="I185" i="19"/>
  <c r="H185" i="19"/>
  <c r="G185" i="19"/>
  <c r="I155" i="19"/>
  <c r="I151" i="19"/>
  <c r="I147" i="19"/>
  <c r="I145" i="19"/>
  <c r="I164" i="19"/>
  <c r="H164" i="19"/>
  <c r="G164" i="19"/>
  <c r="G145" i="19"/>
  <c r="H145" i="19"/>
  <c r="H147" i="19"/>
  <c r="G147" i="19"/>
  <c r="I149" i="19"/>
  <c r="H149" i="19"/>
  <c r="G149" i="19"/>
  <c r="H151" i="19"/>
  <c r="G151" i="19"/>
  <c r="I153" i="19"/>
  <c r="H153" i="19"/>
  <c r="G153" i="19"/>
  <c r="H155" i="19"/>
  <c r="G155" i="19"/>
  <c r="I157" i="19"/>
  <c r="H157" i="19"/>
  <c r="G157" i="19"/>
  <c r="I159" i="19"/>
  <c r="H159" i="19"/>
  <c r="G159" i="19"/>
  <c r="I161" i="19"/>
  <c r="H161" i="19"/>
  <c r="G161" i="19"/>
  <c r="I55" i="19"/>
  <c r="H55" i="19"/>
  <c r="G55" i="19"/>
  <c r="I68" i="19"/>
  <c r="H68" i="19"/>
  <c r="G68" i="19"/>
  <c r="I137" i="19"/>
  <c r="H137" i="19"/>
  <c r="G137" i="19"/>
  <c r="I215" i="19"/>
  <c r="H215" i="19"/>
  <c r="G215" i="19"/>
  <c r="I245" i="19"/>
  <c r="H245" i="19"/>
  <c r="G245" i="19"/>
  <c r="K850" i="19"/>
  <c r="J850" i="19"/>
  <c r="I850" i="19"/>
  <c r="H775" i="19"/>
  <c r="K795" i="19"/>
  <c r="J795" i="19"/>
  <c r="I795" i="19"/>
  <c r="K745" i="19"/>
  <c r="I745" i="19"/>
  <c r="J745" i="19"/>
  <c r="J740" i="19"/>
  <c r="K734" i="19"/>
  <c r="K700" i="19"/>
  <c r="J700" i="19"/>
  <c r="I700" i="19"/>
  <c r="I592" i="19"/>
  <c r="M594" i="19"/>
  <c r="L594" i="19"/>
  <c r="H496" i="19"/>
  <c r="I364" i="19"/>
  <c r="I330" i="19"/>
  <c r="H330" i="19"/>
  <c r="G330" i="19"/>
  <c r="J278" i="19"/>
  <c r="I278" i="19"/>
  <c r="H278" i="19"/>
  <c r="G668" i="19"/>
  <c r="H651" i="19"/>
  <c r="H649" i="19"/>
  <c r="H647" i="19"/>
  <c r="H645" i="19"/>
  <c r="H639" i="19"/>
  <c r="H641" i="19"/>
  <c r="H637" i="19"/>
  <c r="I651" i="19"/>
  <c r="I649" i="19"/>
  <c r="I647" i="19"/>
  <c r="I645" i="19"/>
  <c r="I639" i="19"/>
  <c r="I641" i="19"/>
  <c r="I637" i="19"/>
  <c r="J651" i="19"/>
  <c r="J649" i="19"/>
  <c r="J647" i="19"/>
  <c r="J645" i="19"/>
  <c r="J639" i="19"/>
  <c r="J641" i="19"/>
  <c r="J637" i="19"/>
  <c r="J643" i="19"/>
  <c r="I643" i="19"/>
  <c r="H643" i="19"/>
  <c r="J635" i="19"/>
  <c r="I635" i="19"/>
  <c r="H635" i="19"/>
  <c r="F254" i="19"/>
  <c r="F252" i="19"/>
  <c r="J638" i="19" l="1"/>
  <c r="F256" i="19"/>
  <c r="J837" i="19"/>
  <c r="J730" i="19"/>
  <c r="I640" i="19"/>
  <c r="G558" i="19"/>
  <c r="I512" i="19"/>
  <c r="G480" i="19"/>
  <c r="H465" i="19"/>
  <c r="H449" i="19"/>
  <c r="I421" i="19"/>
  <c r="H421" i="19"/>
  <c r="I405" i="19"/>
  <c r="G381" i="19"/>
  <c r="I306" i="19"/>
  <c r="G306" i="19"/>
  <c r="F181" i="19"/>
  <c r="F179" i="19"/>
  <c r="F177" i="19"/>
  <c r="F175" i="19"/>
  <c r="F173" i="19"/>
  <c r="F174" i="19" s="1"/>
  <c r="I186" i="19"/>
  <c r="H186" i="19"/>
  <c r="F171" i="19"/>
  <c r="I165" i="19"/>
  <c r="I118" i="19"/>
  <c r="G118" i="19"/>
  <c r="I110" i="19"/>
  <c r="H110" i="19"/>
  <c r="G110" i="19"/>
  <c r="K75" i="19"/>
  <c r="K76" i="19" s="1"/>
  <c r="J28" i="19"/>
  <c r="H26" i="19"/>
  <c r="G26" i="19"/>
  <c r="I26" i="19"/>
  <c r="F25" i="19"/>
  <c r="S700" i="19"/>
  <c r="R700" i="19"/>
  <c r="Q700" i="19"/>
  <c r="S699" i="19"/>
  <c r="R699" i="19"/>
  <c r="Q699" i="19"/>
  <c r="P698" i="19"/>
  <c r="S695" i="19"/>
  <c r="R695" i="19"/>
  <c r="Q695" i="19"/>
  <c r="P694" i="19"/>
  <c r="S693" i="19"/>
  <c r="R693" i="19"/>
  <c r="Q693" i="19"/>
  <c r="P692" i="19"/>
  <c r="S691" i="19"/>
  <c r="R691" i="19"/>
  <c r="Q691" i="19"/>
  <c r="P690" i="19"/>
  <c r="S689" i="19"/>
  <c r="R689" i="19"/>
  <c r="Q689" i="19"/>
  <c r="P688" i="19"/>
  <c r="S687" i="19"/>
  <c r="R687" i="19"/>
  <c r="Q687" i="19"/>
  <c r="P686" i="19"/>
  <c r="S685" i="19"/>
  <c r="R685" i="19"/>
  <c r="Q685" i="19"/>
  <c r="P684" i="19"/>
  <c r="S681" i="19"/>
  <c r="R681" i="19"/>
  <c r="R701" i="19" s="1"/>
  <c r="Q681" i="19"/>
  <c r="P680" i="19"/>
  <c r="S744" i="19"/>
  <c r="R744" i="19"/>
  <c r="Q744" i="19"/>
  <c r="S740" i="19"/>
  <c r="R740" i="19"/>
  <c r="Q740" i="19"/>
  <c r="S738" i="19"/>
  <c r="R738" i="19"/>
  <c r="Q738" i="19"/>
  <c r="S736" i="19"/>
  <c r="R736" i="19"/>
  <c r="Q736" i="19"/>
  <c r="S734" i="19"/>
  <c r="R734" i="19"/>
  <c r="Q734" i="19"/>
  <c r="S732" i="19"/>
  <c r="R732" i="19"/>
  <c r="Q732" i="19"/>
  <c r="S730" i="19"/>
  <c r="R730" i="19"/>
  <c r="Q730" i="19"/>
  <c r="S745" i="19"/>
  <c r="R745" i="19"/>
  <c r="Q745" i="19"/>
  <c r="P743" i="19"/>
  <c r="P739" i="19"/>
  <c r="P737" i="19"/>
  <c r="P735" i="19"/>
  <c r="P733" i="19"/>
  <c r="P731" i="19"/>
  <c r="P729" i="19"/>
  <c r="S795" i="19"/>
  <c r="R795" i="19"/>
  <c r="Q795" i="19"/>
  <c r="S794" i="19"/>
  <c r="R794" i="19"/>
  <c r="Q794" i="19"/>
  <c r="P793" i="19"/>
  <c r="S790" i="19"/>
  <c r="R790" i="19"/>
  <c r="Q790" i="19"/>
  <c r="P789" i="19"/>
  <c r="S788" i="19"/>
  <c r="R788" i="19"/>
  <c r="Q788" i="19"/>
  <c r="P787" i="19"/>
  <c r="S786" i="19"/>
  <c r="R786" i="19"/>
  <c r="Q786" i="19"/>
  <c r="P785" i="19"/>
  <c r="S784" i="19"/>
  <c r="R784" i="19"/>
  <c r="Q784" i="19"/>
  <c r="P783" i="19"/>
  <c r="S782" i="19"/>
  <c r="R782" i="19"/>
  <c r="Q782" i="19"/>
  <c r="P781" i="19"/>
  <c r="S780" i="19"/>
  <c r="R780" i="19"/>
  <c r="Q780" i="19"/>
  <c r="P779" i="19"/>
  <c r="S776" i="19"/>
  <c r="S796" i="19" s="1"/>
  <c r="R776" i="19"/>
  <c r="R796" i="19" s="1"/>
  <c r="Q776" i="19"/>
  <c r="Q796" i="19" s="1"/>
  <c r="P775" i="19"/>
  <c r="P790" i="19" s="1"/>
  <c r="O850" i="19"/>
  <c r="N850" i="19"/>
  <c r="M850" i="19"/>
  <c r="O847" i="19"/>
  <c r="N847" i="19"/>
  <c r="M847" i="19"/>
  <c r="L846" i="19"/>
  <c r="O845" i="19"/>
  <c r="N845" i="19"/>
  <c r="M845" i="19"/>
  <c r="L844" i="19"/>
  <c r="O843" i="19"/>
  <c r="N843" i="19"/>
  <c r="M843" i="19"/>
  <c r="L842" i="19"/>
  <c r="O841" i="19"/>
  <c r="N841" i="19"/>
  <c r="M841" i="19"/>
  <c r="L840" i="19"/>
  <c r="O839" i="19"/>
  <c r="N839" i="19"/>
  <c r="M839" i="19"/>
  <c r="L838" i="19"/>
  <c r="O837" i="19"/>
  <c r="N837" i="19"/>
  <c r="M837" i="19"/>
  <c r="L836" i="19"/>
  <c r="O835" i="19"/>
  <c r="N835" i="19"/>
  <c r="M835" i="19"/>
  <c r="L834" i="19"/>
  <c r="O833" i="19"/>
  <c r="O851" i="19" s="1"/>
  <c r="N833" i="19"/>
  <c r="N851" i="19" s="1"/>
  <c r="M833" i="19"/>
  <c r="L832" i="19"/>
  <c r="L847" i="19" s="1"/>
  <c r="S850" i="19"/>
  <c r="R850" i="19"/>
  <c r="Q850" i="19"/>
  <c r="S849" i="19"/>
  <c r="R849" i="19"/>
  <c r="Q849" i="19"/>
  <c r="P848" i="19"/>
  <c r="S845" i="19"/>
  <c r="R845" i="19"/>
  <c r="Q845" i="19"/>
  <c r="P844" i="19"/>
  <c r="S843" i="19"/>
  <c r="R843" i="19"/>
  <c r="Q843" i="19"/>
  <c r="P842" i="19"/>
  <c r="S839" i="19"/>
  <c r="R839" i="19"/>
  <c r="Q839" i="19"/>
  <c r="P838" i="19"/>
  <c r="S837" i="19"/>
  <c r="R837" i="19"/>
  <c r="Q837" i="19"/>
  <c r="P836" i="19"/>
  <c r="S835" i="19"/>
  <c r="R835" i="19"/>
  <c r="Q835" i="19"/>
  <c r="P834" i="19"/>
  <c r="S833" i="19"/>
  <c r="R833" i="19"/>
  <c r="R851" i="19" s="1"/>
  <c r="Q833" i="19"/>
  <c r="Q851" i="19" s="1"/>
  <c r="P832" i="19"/>
  <c r="P833" i="19" s="1"/>
  <c r="O795" i="19"/>
  <c r="N795" i="19"/>
  <c r="M795" i="19"/>
  <c r="O792" i="19"/>
  <c r="N792" i="19"/>
  <c r="M792" i="19"/>
  <c r="L791" i="19"/>
  <c r="O790" i="19"/>
  <c r="N790" i="19"/>
  <c r="M790" i="19"/>
  <c r="L789" i="19"/>
  <c r="O788" i="19"/>
  <c r="N788" i="19"/>
  <c r="M788" i="19"/>
  <c r="L787" i="19"/>
  <c r="O786" i="19"/>
  <c r="N786" i="19"/>
  <c r="M786" i="19"/>
  <c r="L785" i="19"/>
  <c r="O784" i="19"/>
  <c r="N784" i="19"/>
  <c r="M784" i="19"/>
  <c r="L783" i="19"/>
  <c r="O782" i="19"/>
  <c r="N782" i="19"/>
  <c r="M782" i="19"/>
  <c r="L781" i="19"/>
  <c r="O780" i="19"/>
  <c r="N780" i="19"/>
  <c r="M780" i="19"/>
  <c r="L779" i="19"/>
  <c r="O778" i="19"/>
  <c r="N778" i="19"/>
  <c r="M778" i="19"/>
  <c r="L777" i="19"/>
  <c r="O776" i="19"/>
  <c r="O796" i="19" s="1"/>
  <c r="N776" i="19"/>
  <c r="N796" i="19" s="1"/>
  <c r="M776" i="19"/>
  <c r="M796" i="19" s="1"/>
  <c r="L775" i="19"/>
  <c r="L780" i="19" s="1"/>
  <c r="O745" i="19"/>
  <c r="N745" i="19"/>
  <c r="M745" i="19"/>
  <c r="O742" i="19"/>
  <c r="N742" i="19"/>
  <c r="M742" i="19"/>
  <c r="L741" i="19"/>
  <c r="O740" i="19"/>
  <c r="N740" i="19"/>
  <c r="M740" i="19"/>
  <c r="L739" i="19"/>
  <c r="O738" i="19"/>
  <c r="N738" i="19"/>
  <c r="M738" i="19"/>
  <c r="L737" i="19"/>
  <c r="O736" i="19"/>
  <c r="N736" i="19"/>
  <c r="M736" i="19"/>
  <c r="L735" i="19"/>
  <c r="O734" i="19"/>
  <c r="N734" i="19"/>
  <c r="M734" i="19"/>
  <c r="L733" i="19"/>
  <c r="O732" i="19"/>
  <c r="N732" i="19"/>
  <c r="M732" i="19"/>
  <c r="L731" i="19"/>
  <c r="O730" i="19"/>
  <c r="O746" i="19" s="1"/>
  <c r="N730" i="19"/>
  <c r="M730" i="19"/>
  <c r="M746" i="19" s="1"/>
  <c r="L729" i="19"/>
  <c r="L730" i="19" s="1"/>
  <c r="O700" i="19"/>
  <c r="N700" i="19"/>
  <c r="M700" i="19"/>
  <c r="O697" i="19"/>
  <c r="N697" i="19"/>
  <c r="M697" i="19"/>
  <c r="L696" i="19"/>
  <c r="O695" i="19"/>
  <c r="N695" i="19"/>
  <c r="M695" i="19"/>
  <c r="L694" i="19"/>
  <c r="O693" i="19"/>
  <c r="N693" i="19"/>
  <c r="M693" i="19"/>
  <c r="L692" i="19"/>
  <c r="O691" i="19"/>
  <c r="N691" i="19"/>
  <c r="M691" i="19"/>
  <c r="L690" i="19"/>
  <c r="O689" i="19"/>
  <c r="N689" i="19"/>
  <c r="M689" i="19"/>
  <c r="L688" i="19"/>
  <c r="O687" i="19"/>
  <c r="N687" i="19"/>
  <c r="M687" i="19"/>
  <c r="L686" i="19"/>
  <c r="O685" i="19"/>
  <c r="N685" i="19"/>
  <c r="M685" i="19"/>
  <c r="L684" i="19"/>
  <c r="O683" i="19"/>
  <c r="N683" i="19"/>
  <c r="M683" i="19"/>
  <c r="L682" i="19"/>
  <c r="O681" i="19"/>
  <c r="O701" i="19" s="1"/>
  <c r="N681" i="19"/>
  <c r="N701" i="19" s="1"/>
  <c r="M681" i="19"/>
  <c r="L680" i="19"/>
  <c r="M671" i="19"/>
  <c r="L671" i="19"/>
  <c r="K671" i="19"/>
  <c r="M670" i="19"/>
  <c r="L670" i="19"/>
  <c r="K670" i="19"/>
  <c r="J669" i="19"/>
  <c r="M668" i="19"/>
  <c r="L668" i="19"/>
  <c r="K668" i="19"/>
  <c r="J667" i="19"/>
  <c r="M666" i="19"/>
  <c r="L666" i="19"/>
  <c r="K666" i="19"/>
  <c r="J665" i="19"/>
  <c r="M664" i="19"/>
  <c r="L664" i="19"/>
  <c r="K664" i="19"/>
  <c r="J663" i="19"/>
  <c r="M662" i="19"/>
  <c r="M672" i="19" s="1"/>
  <c r="L662" i="19"/>
  <c r="L672" i="19" s="1"/>
  <c r="K662" i="19"/>
  <c r="K672" i="19" s="1"/>
  <c r="J661" i="19"/>
  <c r="J662" i="19" s="1"/>
  <c r="N653" i="19"/>
  <c r="M653" i="19"/>
  <c r="L653" i="19"/>
  <c r="N652" i="19"/>
  <c r="M652" i="19"/>
  <c r="L652" i="19"/>
  <c r="K651" i="19"/>
  <c r="N650" i="19"/>
  <c r="M650" i="19"/>
  <c r="L650" i="19"/>
  <c r="K649" i="19"/>
  <c r="N648" i="19"/>
  <c r="M648" i="19"/>
  <c r="L648" i="19"/>
  <c r="K647" i="19"/>
  <c r="N646" i="19"/>
  <c r="M646" i="19"/>
  <c r="L646" i="19"/>
  <c r="K645" i="19"/>
  <c r="N644" i="19"/>
  <c r="M644" i="19"/>
  <c r="L644" i="19"/>
  <c r="K643" i="19"/>
  <c r="N640" i="19"/>
  <c r="M640" i="19"/>
  <c r="L640" i="19"/>
  <c r="K639" i="19"/>
  <c r="N642" i="19"/>
  <c r="M642" i="19"/>
  <c r="L642" i="19"/>
  <c r="K641" i="19"/>
  <c r="N638" i="19"/>
  <c r="M638" i="19"/>
  <c r="L638" i="19"/>
  <c r="K637" i="19"/>
  <c r="N636" i="19"/>
  <c r="N654" i="19" s="1"/>
  <c r="M636" i="19"/>
  <c r="M654" i="19" s="1"/>
  <c r="L636" i="19"/>
  <c r="L654" i="19" s="1"/>
  <c r="K635" i="19"/>
  <c r="K636" i="19" s="1"/>
  <c r="M627" i="19"/>
  <c r="L627" i="19"/>
  <c r="K627" i="19"/>
  <c r="M626" i="19"/>
  <c r="L626" i="19"/>
  <c r="K626" i="19"/>
  <c r="J625" i="19"/>
  <c r="M624" i="19"/>
  <c r="M628" i="19" s="1"/>
  <c r="L624" i="19"/>
  <c r="K624" i="19"/>
  <c r="J623" i="19"/>
  <c r="J624" i="19" s="1"/>
  <c r="M581" i="19"/>
  <c r="L581" i="19"/>
  <c r="K581" i="19"/>
  <c r="M580" i="19"/>
  <c r="L580" i="19"/>
  <c r="K580" i="19"/>
  <c r="J579" i="19"/>
  <c r="M578" i="19"/>
  <c r="L578" i="19"/>
  <c r="K578" i="19"/>
  <c r="J577" i="19"/>
  <c r="M576" i="19"/>
  <c r="L576" i="19"/>
  <c r="K576" i="19"/>
  <c r="J575" i="19"/>
  <c r="M574" i="19"/>
  <c r="M582" i="19" s="1"/>
  <c r="L574" i="19"/>
  <c r="K574" i="19"/>
  <c r="K582" i="19" s="1"/>
  <c r="J573" i="19"/>
  <c r="J580" i="19" s="1"/>
  <c r="M565" i="19"/>
  <c r="L565" i="19"/>
  <c r="K565" i="19"/>
  <c r="M564" i="19"/>
  <c r="L564" i="19"/>
  <c r="K564" i="19"/>
  <c r="J563" i="19"/>
  <c r="M562" i="19"/>
  <c r="L562" i="19"/>
  <c r="K562" i="19"/>
  <c r="J561" i="19"/>
  <c r="M560" i="19"/>
  <c r="L560" i="19"/>
  <c r="K560" i="19"/>
  <c r="J559" i="19"/>
  <c r="M558" i="19"/>
  <c r="M566" i="19" s="1"/>
  <c r="L558" i="19"/>
  <c r="L566" i="19" s="1"/>
  <c r="K558" i="19"/>
  <c r="J557" i="19"/>
  <c r="J565" i="19" s="1"/>
  <c r="M549" i="19"/>
  <c r="L549" i="19"/>
  <c r="K549" i="19"/>
  <c r="M548" i="19"/>
  <c r="L548" i="19"/>
  <c r="K548" i="19"/>
  <c r="J547" i="19"/>
  <c r="M546" i="19"/>
  <c r="L546" i="19"/>
  <c r="K546" i="19"/>
  <c r="J545" i="19"/>
  <c r="M544" i="19"/>
  <c r="L544" i="19"/>
  <c r="K544" i="19"/>
  <c r="J543" i="19"/>
  <c r="M542" i="19"/>
  <c r="M550" i="19" s="1"/>
  <c r="L542" i="19"/>
  <c r="L550" i="19" s="1"/>
  <c r="K542" i="19"/>
  <c r="J541" i="19"/>
  <c r="J548" i="19" s="1"/>
  <c r="M533" i="19"/>
  <c r="L533" i="19"/>
  <c r="K533" i="19"/>
  <c r="M532" i="19"/>
  <c r="L532" i="19"/>
  <c r="K532" i="19"/>
  <c r="J531" i="19"/>
  <c r="M530" i="19"/>
  <c r="L530" i="19"/>
  <c r="K530" i="19"/>
  <c r="J529" i="19"/>
  <c r="M528" i="19"/>
  <c r="L528" i="19"/>
  <c r="K528" i="19"/>
  <c r="J527" i="19"/>
  <c r="M526" i="19"/>
  <c r="L526" i="19"/>
  <c r="L534" i="19" s="1"/>
  <c r="K526" i="19"/>
  <c r="K534" i="19" s="1"/>
  <c r="J525" i="19"/>
  <c r="J530" i="19" s="1"/>
  <c r="M517" i="19"/>
  <c r="L517" i="19"/>
  <c r="K517" i="19"/>
  <c r="M516" i="19"/>
  <c r="L516" i="19"/>
  <c r="K516" i="19"/>
  <c r="J515" i="19"/>
  <c r="M514" i="19"/>
  <c r="L514" i="19"/>
  <c r="K514" i="19"/>
  <c r="J513" i="19"/>
  <c r="M512" i="19"/>
  <c r="L512" i="19"/>
  <c r="K512" i="19"/>
  <c r="J511" i="19"/>
  <c r="M510" i="19"/>
  <c r="M518" i="19" s="1"/>
  <c r="L510" i="19"/>
  <c r="L518" i="19" s="1"/>
  <c r="K510" i="19"/>
  <c r="K518" i="19" s="1"/>
  <c r="J509" i="19"/>
  <c r="J516" i="19" s="1"/>
  <c r="M501" i="19"/>
  <c r="L501" i="19"/>
  <c r="K501" i="19"/>
  <c r="M500" i="19"/>
  <c r="L500" i="19"/>
  <c r="K500" i="19"/>
  <c r="J499" i="19"/>
  <c r="M498" i="19"/>
  <c r="L498" i="19"/>
  <c r="K498" i="19"/>
  <c r="J497" i="19"/>
  <c r="M496" i="19"/>
  <c r="L496" i="19"/>
  <c r="K496" i="19"/>
  <c r="J495" i="19"/>
  <c r="M494" i="19"/>
  <c r="M502" i="19" s="1"/>
  <c r="L494" i="19"/>
  <c r="K494" i="19"/>
  <c r="J493" i="19"/>
  <c r="J494" i="19" s="1"/>
  <c r="M485" i="19"/>
  <c r="L485" i="19"/>
  <c r="K485" i="19"/>
  <c r="M484" i="19"/>
  <c r="L484" i="19"/>
  <c r="K484" i="19"/>
  <c r="J483" i="19"/>
  <c r="M482" i="19"/>
  <c r="L482" i="19"/>
  <c r="K482" i="19"/>
  <c r="J481" i="19"/>
  <c r="M480" i="19"/>
  <c r="L480" i="19"/>
  <c r="K480" i="19"/>
  <c r="J479" i="19"/>
  <c r="M478" i="19"/>
  <c r="M486" i="19" s="1"/>
  <c r="L478" i="19"/>
  <c r="L486" i="19" s="1"/>
  <c r="K478" i="19"/>
  <c r="J477" i="19"/>
  <c r="J484" i="19" s="1"/>
  <c r="M468" i="19"/>
  <c r="L468" i="19"/>
  <c r="K468" i="19"/>
  <c r="M467" i="19"/>
  <c r="L467" i="19"/>
  <c r="K467" i="19"/>
  <c r="J466" i="19"/>
  <c r="M465" i="19"/>
  <c r="L465" i="19"/>
  <c r="K465" i="19"/>
  <c r="J464" i="19"/>
  <c r="M463" i="19"/>
  <c r="L463" i="19"/>
  <c r="K463" i="19"/>
  <c r="J462" i="19"/>
  <c r="M461" i="19"/>
  <c r="M469" i="19" s="1"/>
  <c r="L461" i="19"/>
  <c r="L469" i="19" s="1"/>
  <c r="K461" i="19"/>
  <c r="J460" i="19"/>
  <c r="J468" i="19" s="1"/>
  <c r="M452" i="19"/>
  <c r="L452" i="19"/>
  <c r="K452" i="19"/>
  <c r="M451" i="19"/>
  <c r="L451" i="19"/>
  <c r="K451" i="19"/>
  <c r="J450" i="19"/>
  <c r="M449" i="19"/>
  <c r="L449" i="19"/>
  <c r="K449" i="19"/>
  <c r="J448" i="19"/>
  <c r="M447" i="19"/>
  <c r="L447" i="19"/>
  <c r="K447" i="19"/>
  <c r="J446" i="19"/>
  <c r="M445" i="19"/>
  <c r="L445" i="19"/>
  <c r="K445" i="19"/>
  <c r="J444" i="19"/>
  <c r="M443" i="19"/>
  <c r="M453" i="19" s="1"/>
  <c r="L443" i="19"/>
  <c r="L453" i="19" s="1"/>
  <c r="K443" i="19"/>
  <c r="K453" i="19" s="1"/>
  <c r="J442" i="19"/>
  <c r="J447" i="19" s="1"/>
  <c r="N434" i="19"/>
  <c r="M434" i="19"/>
  <c r="L434" i="19"/>
  <c r="N433" i="19"/>
  <c r="M433" i="19"/>
  <c r="L433" i="19"/>
  <c r="K432" i="19"/>
  <c r="N431" i="19"/>
  <c r="M431" i="19"/>
  <c r="L431" i="19"/>
  <c r="K430" i="19"/>
  <c r="N429" i="19"/>
  <c r="M429" i="19"/>
  <c r="L429" i="19"/>
  <c r="K428" i="19"/>
  <c r="N427" i="19"/>
  <c r="M427" i="19"/>
  <c r="L427" i="19"/>
  <c r="K426" i="19"/>
  <c r="N425" i="19"/>
  <c r="M425" i="19"/>
  <c r="L425" i="19"/>
  <c r="K424" i="19"/>
  <c r="N423" i="19"/>
  <c r="M423" i="19"/>
  <c r="L423" i="19"/>
  <c r="K422" i="19"/>
  <c r="N421" i="19"/>
  <c r="M421" i="19"/>
  <c r="L421" i="19"/>
  <c r="K420" i="19"/>
  <c r="N419" i="19"/>
  <c r="M419" i="19"/>
  <c r="M435" i="19" s="1"/>
  <c r="L419" i="19"/>
  <c r="L435" i="19" s="1"/>
  <c r="K418" i="19"/>
  <c r="K433" i="19" s="1"/>
  <c r="M410" i="19"/>
  <c r="L410" i="19"/>
  <c r="K410" i="19"/>
  <c r="M409" i="19"/>
  <c r="L409" i="19"/>
  <c r="K409" i="19"/>
  <c r="J408" i="19"/>
  <c r="M407" i="19"/>
  <c r="L407" i="19"/>
  <c r="K407" i="19"/>
  <c r="J406" i="19"/>
  <c r="M405" i="19"/>
  <c r="L405" i="19"/>
  <c r="K405" i="19"/>
  <c r="J404" i="19"/>
  <c r="M403" i="19"/>
  <c r="L403" i="19"/>
  <c r="K403" i="19"/>
  <c r="J402" i="19"/>
  <c r="M401" i="19"/>
  <c r="L401" i="19"/>
  <c r="K401" i="19"/>
  <c r="J400" i="19"/>
  <c r="M399" i="19"/>
  <c r="L399" i="19"/>
  <c r="K399" i="19"/>
  <c r="J398" i="19"/>
  <c r="M397" i="19"/>
  <c r="M411" i="19" s="1"/>
  <c r="L397" i="19"/>
  <c r="L411" i="19" s="1"/>
  <c r="K397" i="19"/>
  <c r="K411" i="19" s="1"/>
  <c r="J396" i="19"/>
  <c r="J397" i="19" s="1"/>
  <c r="M388" i="19"/>
  <c r="L388" i="19"/>
  <c r="K388" i="19"/>
  <c r="M387" i="19"/>
  <c r="L387" i="19"/>
  <c r="K387" i="19"/>
  <c r="J386" i="19"/>
  <c r="M385" i="19"/>
  <c r="L385" i="19"/>
  <c r="K385" i="19"/>
  <c r="J384" i="19"/>
  <c r="M383" i="19"/>
  <c r="L383" i="19"/>
  <c r="K383" i="19"/>
  <c r="J382" i="19"/>
  <c r="M381" i="19"/>
  <c r="M389" i="19" s="1"/>
  <c r="L381" i="19"/>
  <c r="L389" i="19" s="1"/>
  <c r="K381" i="19"/>
  <c r="K389" i="19" s="1"/>
  <c r="J380" i="19"/>
  <c r="J388" i="19" s="1"/>
  <c r="N371" i="19"/>
  <c r="M371" i="19"/>
  <c r="L371" i="19"/>
  <c r="N370" i="19"/>
  <c r="M370" i="19"/>
  <c r="L370" i="19"/>
  <c r="K369" i="19"/>
  <c r="N368" i="19"/>
  <c r="M368" i="19"/>
  <c r="L368" i="19"/>
  <c r="K367" i="19"/>
  <c r="N366" i="19"/>
  <c r="M366" i="19"/>
  <c r="L366" i="19"/>
  <c r="K365" i="19"/>
  <c r="N364" i="19"/>
  <c r="M364" i="19"/>
  <c r="L364" i="19"/>
  <c r="K363" i="19"/>
  <c r="N362" i="19"/>
  <c r="M362" i="19"/>
  <c r="L362" i="19"/>
  <c r="K361" i="19"/>
  <c r="N360" i="19"/>
  <c r="M360" i="19"/>
  <c r="L360" i="19"/>
  <c r="K359" i="19"/>
  <c r="N358" i="19"/>
  <c r="M358" i="19"/>
  <c r="L358" i="19"/>
  <c r="K357" i="19"/>
  <c r="N356" i="19"/>
  <c r="N372" i="19" s="1"/>
  <c r="M356" i="19"/>
  <c r="L356" i="19"/>
  <c r="L372" i="19" s="1"/>
  <c r="K355" i="19"/>
  <c r="M330" i="19"/>
  <c r="L330" i="19"/>
  <c r="K330" i="19"/>
  <c r="M327" i="19"/>
  <c r="L327" i="19"/>
  <c r="K327" i="19"/>
  <c r="J326" i="19"/>
  <c r="M325" i="19"/>
  <c r="L325" i="19"/>
  <c r="K325" i="19"/>
  <c r="J324" i="19"/>
  <c r="M323" i="19"/>
  <c r="L323" i="19"/>
  <c r="K323" i="19"/>
  <c r="J322" i="19"/>
  <c r="M321" i="19"/>
  <c r="L321" i="19"/>
  <c r="L331" i="19" s="1"/>
  <c r="K321" i="19"/>
  <c r="K331" i="19" s="1"/>
  <c r="J320" i="19"/>
  <c r="J327" i="19" s="1"/>
  <c r="Q330" i="19"/>
  <c r="P330" i="19"/>
  <c r="O330" i="19"/>
  <c r="Q329" i="19"/>
  <c r="P329" i="19"/>
  <c r="O329" i="19"/>
  <c r="N328" i="19"/>
  <c r="Q327" i="19"/>
  <c r="P327" i="19"/>
  <c r="O327" i="19"/>
  <c r="N326" i="19"/>
  <c r="Q325" i="19"/>
  <c r="P325" i="19"/>
  <c r="O325" i="19"/>
  <c r="N324" i="19"/>
  <c r="Q323" i="19"/>
  <c r="P323" i="19"/>
  <c r="O323" i="19"/>
  <c r="N322" i="19"/>
  <c r="Q321" i="19"/>
  <c r="Q331" i="19" s="1"/>
  <c r="P321" i="19"/>
  <c r="P331" i="19" s="1"/>
  <c r="O321" i="19"/>
  <c r="O331" i="19" s="1"/>
  <c r="N320" i="19"/>
  <c r="K310" i="19"/>
  <c r="K306" i="19"/>
  <c r="K312" i="19" s="1"/>
  <c r="M311" i="19"/>
  <c r="L311" i="19"/>
  <c r="K311" i="19"/>
  <c r="M310" i="19"/>
  <c r="L310" i="19"/>
  <c r="J309" i="19"/>
  <c r="M308" i="19"/>
  <c r="L308" i="19"/>
  <c r="K308" i="19"/>
  <c r="J307" i="19"/>
  <c r="M306" i="19"/>
  <c r="L306" i="19"/>
  <c r="J305" i="19"/>
  <c r="J306" i="19" s="1"/>
  <c r="N278" i="19"/>
  <c r="M278" i="19"/>
  <c r="L278" i="19"/>
  <c r="N275" i="19"/>
  <c r="M275" i="19"/>
  <c r="L275" i="19"/>
  <c r="K274" i="19"/>
  <c r="N273" i="19"/>
  <c r="M273" i="19"/>
  <c r="L273" i="19"/>
  <c r="K272" i="19"/>
  <c r="N271" i="19"/>
  <c r="M271" i="19"/>
  <c r="L271" i="19"/>
  <c r="K270" i="19"/>
  <c r="N269" i="19"/>
  <c r="M269" i="19"/>
  <c r="L269" i="19"/>
  <c r="K268" i="19"/>
  <c r="N267" i="19"/>
  <c r="M267" i="19"/>
  <c r="L267" i="19"/>
  <c r="K266" i="19"/>
  <c r="N265" i="19"/>
  <c r="N279" i="19" s="1"/>
  <c r="M265" i="19"/>
  <c r="M279" i="19" s="1"/>
  <c r="L265" i="19"/>
  <c r="K264" i="19"/>
  <c r="K265" i="19" s="1"/>
  <c r="R278" i="19"/>
  <c r="Q278" i="19"/>
  <c r="P278" i="19"/>
  <c r="R277" i="19"/>
  <c r="Q277" i="19"/>
  <c r="P277" i="19"/>
  <c r="O276" i="19"/>
  <c r="R275" i="19"/>
  <c r="Q275" i="19"/>
  <c r="P275" i="19"/>
  <c r="O274" i="19"/>
  <c r="R273" i="19"/>
  <c r="Q273" i="19"/>
  <c r="P273" i="19"/>
  <c r="O272" i="19"/>
  <c r="R271" i="19"/>
  <c r="Q271" i="19"/>
  <c r="P271" i="19"/>
  <c r="O270" i="19"/>
  <c r="R269" i="19"/>
  <c r="Q269" i="19"/>
  <c r="P269" i="19"/>
  <c r="O268" i="19"/>
  <c r="R267" i="19"/>
  <c r="Q267" i="19"/>
  <c r="P267" i="19"/>
  <c r="O266" i="19"/>
  <c r="R265" i="19"/>
  <c r="Q265" i="19"/>
  <c r="Q279" i="19" s="1"/>
  <c r="P265" i="19"/>
  <c r="P279" i="19" s="1"/>
  <c r="O264" i="19"/>
  <c r="O265" i="19" s="1"/>
  <c r="M256" i="19"/>
  <c r="L256" i="19"/>
  <c r="K256" i="19"/>
  <c r="M255" i="19"/>
  <c r="L255" i="19"/>
  <c r="K255" i="19"/>
  <c r="J254" i="19"/>
  <c r="M253" i="19"/>
  <c r="L253" i="19"/>
  <c r="L257" i="19" s="1"/>
  <c r="K253" i="19"/>
  <c r="J252" i="19"/>
  <c r="J253" i="19" s="1"/>
  <c r="M245" i="19"/>
  <c r="L245" i="19"/>
  <c r="K245" i="19"/>
  <c r="M242" i="19"/>
  <c r="L242" i="19"/>
  <c r="K242" i="19"/>
  <c r="J241" i="19"/>
  <c r="M240" i="19"/>
  <c r="M246" i="19" s="1"/>
  <c r="L240" i="19"/>
  <c r="K240" i="19"/>
  <c r="J239" i="19"/>
  <c r="J240" i="19" s="1"/>
  <c r="Q245" i="19"/>
  <c r="P245" i="19"/>
  <c r="O245" i="19"/>
  <c r="Q244" i="19"/>
  <c r="P244" i="19"/>
  <c r="O244" i="19"/>
  <c r="N243" i="19"/>
  <c r="Q242" i="19"/>
  <c r="P242" i="19"/>
  <c r="O242" i="19"/>
  <c r="N241" i="19"/>
  <c r="Q240" i="19"/>
  <c r="P240" i="19"/>
  <c r="O240" i="19"/>
  <c r="O246" i="19" s="1"/>
  <c r="N239" i="19"/>
  <c r="N240" i="19" s="1"/>
  <c r="M232" i="19"/>
  <c r="L232" i="19"/>
  <c r="K232" i="19"/>
  <c r="M231" i="19"/>
  <c r="L231" i="19"/>
  <c r="K231" i="19"/>
  <c r="J230" i="19"/>
  <c r="M229" i="19"/>
  <c r="L229" i="19"/>
  <c r="K229" i="19"/>
  <c r="J228" i="19"/>
  <c r="M227" i="19"/>
  <c r="L227" i="19"/>
  <c r="K227" i="19"/>
  <c r="J226" i="19"/>
  <c r="M225" i="19"/>
  <c r="L225" i="19"/>
  <c r="K225" i="19"/>
  <c r="J224" i="19"/>
  <c r="M223" i="19"/>
  <c r="L223" i="19"/>
  <c r="L233" i="19" s="1"/>
  <c r="K223" i="19"/>
  <c r="J222" i="19"/>
  <c r="M215" i="19"/>
  <c r="L215" i="19"/>
  <c r="K215" i="19"/>
  <c r="M212" i="19"/>
  <c r="L212" i="19"/>
  <c r="K212" i="19"/>
  <c r="J211" i="19"/>
  <c r="M210" i="19"/>
  <c r="L210" i="19"/>
  <c r="K210" i="19"/>
  <c r="J209" i="19"/>
  <c r="M208" i="19"/>
  <c r="L208" i="19"/>
  <c r="K208" i="19"/>
  <c r="J207" i="19"/>
  <c r="M206" i="19"/>
  <c r="L206" i="19"/>
  <c r="L216" i="19" s="1"/>
  <c r="K206" i="19"/>
  <c r="K216" i="19" s="1"/>
  <c r="J205" i="19"/>
  <c r="J212" i="19" s="1"/>
  <c r="Q215" i="19"/>
  <c r="P215" i="19"/>
  <c r="O215" i="19"/>
  <c r="Q214" i="19"/>
  <c r="P214" i="19"/>
  <c r="O214" i="19"/>
  <c r="N213" i="19"/>
  <c r="Q212" i="19"/>
  <c r="P212" i="19"/>
  <c r="O212" i="19"/>
  <c r="N211" i="19"/>
  <c r="Q210" i="19"/>
  <c r="P210" i="19"/>
  <c r="O210" i="19"/>
  <c r="N209" i="19"/>
  <c r="Q208" i="19"/>
  <c r="P208" i="19"/>
  <c r="O208" i="19"/>
  <c r="N207" i="19"/>
  <c r="Q206" i="19"/>
  <c r="Q216" i="19" s="1"/>
  <c r="P206" i="19"/>
  <c r="N205" i="19"/>
  <c r="M198" i="19"/>
  <c r="L198" i="19"/>
  <c r="K198" i="19"/>
  <c r="M197" i="19"/>
  <c r="L197" i="19"/>
  <c r="K197" i="19"/>
  <c r="J196" i="19"/>
  <c r="M195" i="19"/>
  <c r="L195" i="19"/>
  <c r="K195" i="19"/>
  <c r="J194" i="19"/>
  <c r="M193" i="19"/>
  <c r="L193" i="19"/>
  <c r="K193" i="19"/>
  <c r="K199" i="19" s="1"/>
  <c r="J192" i="19"/>
  <c r="J193" i="19" s="1"/>
  <c r="J171" i="19"/>
  <c r="N171" i="19"/>
  <c r="K172" i="19"/>
  <c r="L172" i="19"/>
  <c r="M172" i="19"/>
  <c r="O172" i="19"/>
  <c r="P172" i="19"/>
  <c r="Q172" i="19"/>
  <c r="J173" i="19"/>
  <c r="N173" i="19"/>
  <c r="K174" i="19"/>
  <c r="L174" i="19"/>
  <c r="M174" i="19"/>
  <c r="O174" i="19"/>
  <c r="P174" i="19"/>
  <c r="Q174" i="19"/>
  <c r="J175" i="19"/>
  <c r="N175" i="19"/>
  <c r="K176" i="19"/>
  <c r="L176" i="19"/>
  <c r="M176" i="19"/>
  <c r="O176" i="19"/>
  <c r="P176" i="19"/>
  <c r="Q176" i="19"/>
  <c r="J177" i="19"/>
  <c r="N177" i="19"/>
  <c r="K178" i="19"/>
  <c r="L178" i="19"/>
  <c r="M178" i="19"/>
  <c r="O178" i="19"/>
  <c r="P178" i="19"/>
  <c r="Q178" i="19"/>
  <c r="J179" i="19"/>
  <c r="N179" i="19"/>
  <c r="K180" i="19"/>
  <c r="L180" i="19"/>
  <c r="M180" i="19"/>
  <c r="O180" i="19"/>
  <c r="P180" i="19"/>
  <c r="Q180" i="19"/>
  <c r="J181" i="19"/>
  <c r="J182" i="19" s="1"/>
  <c r="N181" i="19"/>
  <c r="K182" i="19"/>
  <c r="L182" i="19"/>
  <c r="M182" i="19"/>
  <c r="O182" i="19"/>
  <c r="P182" i="19"/>
  <c r="Q182" i="19"/>
  <c r="N183" i="19"/>
  <c r="O184" i="19"/>
  <c r="P184" i="19"/>
  <c r="Q184" i="19"/>
  <c r="K185" i="19"/>
  <c r="L185" i="19"/>
  <c r="M185" i="19"/>
  <c r="O185" i="19"/>
  <c r="P185" i="19"/>
  <c r="Q185" i="19"/>
  <c r="J144" i="19"/>
  <c r="N144" i="19"/>
  <c r="K145" i="19"/>
  <c r="L145" i="19"/>
  <c r="M145" i="19"/>
  <c r="P145" i="19"/>
  <c r="J146" i="19"/>
  <c r="N146" i="19"/>
  <c r="K147" i="19"/>
  <c r="L147" i="19"/>
  <c r="M147" i="19"/>
  <c r="O147" i="19"/>
  <c r="P147" i="19"/>
  <c r="Q147" i="19"/>
  <c r="J148" i="19"/>
  <c r="N148" i="19"/>
  <c r="K149" i="19"/>
  <c r="L149" i="19"/>
  <c r="M149" i="19"/>
  <c r="P149" i="19"/>
  <c r="Q149" i="19"/>
  <c r="J150" i="19"/>
  <c r="N150" i="19"/>
  <c r="K151" i="19"/>
  <c r="L151" i="19"/>
  <c r="M151" i="19"/>
  <c r="O151" i="19"/>
  <c r="P151" i="19"/>
  <c r="Q151" i="19"/>
  <c r="J152" i="19"/>
  <c r="N152" i="19"/>
  <c r="K153" i="19"/>
  <c r="L153" i="19"/>
  <c r="M153" i="19"/>
  <c r="O153" i="19"/>
  <c r="P153" i="19"/>
  <c r="Q153" i="19"/>
  <c r="J154" i="19"/>
  <c r="N154" i="19"/>
  <c r="K155" i="19"/>
  <c r="L155" i="19"/>
  <c r="M155" i="19"/>
  <c r="O155" i="19"/>
  <c r="P155" i="19"/>
  <c r="Q155" i="19"/>
  <c r="J156" i="19"/>
  <c r="N156" i="19"/>
  <c r="K157" i="19"/>
  <c r="L157" i="19"/>
  <c r="M157" i="19"/>
  <c r="O157" i="19"/>
  <c r="P157" i="19"/>
  <c r="Q157" i="19"/>
  <c r="J158" i="19"/>
  <c r="N158" i="19"/>
  <c r="K159" i="19"/>
  <c r="L159" i="19"/>
  <c r="M159" i="19"/>
  <c r="P159" i="19"/>
  <c r="Q159" i="19"/>
  <c r="J160" i="19"/>
  <c r="N160" i="19"/>
  <c r="K161" i="19"/>
  <c r="L161" i="19"/>
  <c r="M161" i="19"/>
  <c r="O161" i="19"/>
  <c r="P161" i="19"/>
  <c r="Q161" i="19"/>
  <c r="N162" i="19"/>
  <c r="O163" i="19"/>
  <c r="P163" i="19"/>
  <c r="Q163" i="19"/>
  <c r="K164" i="19"/>
  <c r="L164" i="19"/>
  <c r="M164" i="19"/>
  <c r="O164" i="19"/>
  <c r="P164" i="19"/>
  <c r="Q164" i="19"/>
  <c r="J117" i="19"/>
  <c r="N117" i="19"/>
  <c r="K118" i="19"/>
  <c r="L118" i="19"/>
  <c r="M118" i="19"/>
  <c r="O118" i="19"/>
  <c r="P118" i="19"/>
  <c r="Q118" i="19"/>
  <c r="J119" i="19"/>
  <c r="N119" i="19"/>
  <c r="K120" i="19"/>
  <c r="L120" i="19"/>
  <c r="M120" i="19"/>
  <c r="O120" i="19"/>
  <c r="P120" i="19"/>
  <c r="Q120" i="19"/>
  <c r="J121" i="19"/>
  <c r="N121" i="19"/>
  <c r="K122" i="19"/>
  <c r="L122" i="19"/>
  <c r="M122" i="19"/>
  <c r="O122" i="19"/>
  <c r="P122" i="19"/>
  <c r="Q122" i="19"/>
  <c r="J123" i="19"/>
  <c r="N123" i="19"/>
  <c r="K124" i="19"/>
  <c r="L124" i="19"/>
  <c r="M124" i="19"/>
  <c r="O124" i="19"/>
  <c r="P124" i="19"/>
  <c r="Q124" i="19"/>
  <c r="J125" i="19"/>
  <c r="N125" i="19"/>
  <c r="K126" i="19"/>
  <c r="L126" i="19"/>
  <c r="M126" i="19"/>
  <c r="O126" i="19"/>
  <c r="P126" i="19"/>
  <c r="Q126" i="19"/>
  <c r="J127" i="19"/>
  <c r="N127" i="19"/>
  <c r="K128" i="19"/>
  <c r="L128" i="19"/>
  <c r="M128" i="19"/>
  <c r="O128" i="19"/>
  <c r="P128" i="19"/>
  <c r="Q128" i="19"/>
  <c r="J129" i="19"/>
  <c r="N129" i="19"/>
  <c r="K130" i="19"/>
  <c r="L130" i="19"/>
  <c r="M130" i="19"/>
  <c r="O130" i="19"/>
  <c r="P130" i="19"/>
  <c r="Q130" i="19"/>
  <c r="J131" i="19"/>
  <c r="N131" i="19"/>
  <c r="K132" i="19"/>
  <c r="L132" i="19"/>
  <c r="M132" i="19"/>
  <c r="O132" i="19"/>
  <c r="P132" i="19"/>
  <c r="Q132" i="19"/>
  <c r="J133" i="19"/>
  <c r="N133" i="19"/>
  <c r="K134" i="19"/>
  <c r="L134" i="19"/>
  <c r="M134" i="19"/>
  <c r="O134" i="19"/>
  <c r="P134" i="19"/>
  <c r="Q134" i="19"/>
  <c r="N135" i="19"/>
  <c r="O136" i="19"/>
  <c r="P136" i="19"/>
  <c r="Q136" i="19"/>
  <c r="K137" i="19"/>
  <c r="L137" i="19"/>
  <c r="M137" i="19"/>
  <c r="O137" i="19"/>
  <c r="P137" i="19"/>
  <c r="Q137" i="19"/>
  <c r="K96" i="19"/>
  <c r="L96" i="19"/>
  <c r="L97" i="19" s="1"/>
  <c r="M96" i="19"/>
  <c r="M107" i="19" s="1"/>
  <c r="O96" i="19"/>
  <c r="O107" i="19" s="1"/>
  <c r="P96" i="19"/>
  <c r="P97" i="19" s="1"/>
  <c r="Q96" i="19"/>
  <c r="Q109" i="19" s="1"/>
  <c r="M97" i="19"/>
  <c r="J98" i="19"/>
  <c r="N98" i="19"/>
  <c r="K99" i="19"/>
  <c r="L99" i="19"/>
  <c r="M99" i="19"/>
  <c r="P99" i="19"/>
  <c r="Q99" i="19"/>
  <c r="J100" i="19"/>
  <c r="N100" i="19"/>
  <c r="K101" i="19"/>
  <c r="L101" i="19"/>
  <c r="M101" i="19"/>
  <c r="O101" i="19"/>
  <c r="Q101" i="19"/>
  <c r="J102" i="19"/>
  <c r="N102" i="19"/>
  <c r="K103" i="19"/>
  <c r="L103" i="19"/>
  <c r="M103" i="19"/>
  <c r="O103" i="19"/>
  <c r="P103" i="19"/>
  <c r="Q103" i="19"/>
  <c r="N104" i="19"/>
  <c r="O105" i="19"/>
  <c r="P105" i="19"/>
  <c r="Q105" i="19"/>
  <c r="J106" i="19"/>
  <c r="N106" i="19"/>
  <c r="N108" i="19"/>
  <c r="L75" i="19"/>
  <c r="L86" i="19" s="1"/>
  <c r="M75" i="19"/>
  <c r="M86" i="19" s="1"/>
  <c r="O75" i="19"/>
  <c r="O89" i="19" s="1"/>
  <c r="P75" i="19"/>
  <c r="P86" i="19" s="1"/>
  <c r="Q75" i="19"/>
  <c r="Q86" i="19" s="1"/>
  <c r="M76" i="19"/>
  <c r="O76" i="19"/>
  <c r="J77" i="19"/>
  <c r="N77" i="19"/>
  <c r="K78" i="19"/>
  <c r="L78" i="19"/>
  <c r="M78" i="19"/>
  <c r="O78" i="19"/>
  <c r="P78" i="19"/>
  <c r="Q78" i="19"/>
  <c r="J79" i="19"/>
  <c r="J80" i="19" s="1"/>
  <c r="N79" i="19"/>
  <c r="K80" i="19"/>
  <c r="L80" i="19"/>
  <c r="M80" i="19"/>
  <c r="O80" i="19"/>
  <c r="Q80" i="19"/>
  <c r="K82" i="19"/>
  <c r="L82" i="19"/>
  <c r="M82" i="19"/>
  <c r="O82" i="19"/>
  <c r="P82" i="19"/>
  <c r="Q82" i="19"/>
  <c r="N83" i="19"/>
  <c r="O84" i="19"/>
  <c r="P84" i="19"/>
  <c r="Q84" i="19"/>
  <c r="J85" i="19"/>
  <c r="N85" i="19"/>
  <c r="O86" i="19"/>
  <c r="O88" i="19" s="1"/>
  <c r="N87" i="19"/>
  <c r="J62" i="19"/>
  <c r="N62" i="19"/>
  <c r="K63" i="19"/>
  <c r="L63" i="19"/>
  <c r="M63" i="19"/>
  <c r="O63" i="19"/>
  <c r="P63" i="19"/>
  <c r="Q63" i="19"/>
  <c r="J64" i="19"/>
  <c r="J65" i="19" s="1"/>
  <c r="N64" i="19"/>
  <c r="K65" i="19"/>
  <c r="L65" i="19"/>
  <c r="L69" i="19" s="1"/>
  <c r="M65" i="19"/>
  <c r="M69" i="19" s="1"/>
  <c r="O65" i="19"/>
  <c r="O67" i="19" s="1"/>
  <c r="P65" i="19"/>
  <c r="P67" i="19" s="1"/>
  <c r="P69" i="19" s="1"/>
  <c r="Q65" i="19"/>
  <c r="Q67" i="19" s="1"/>
  <c r="N66" i="19"/>
  <c r="K68" i="19"/>
  <c r="L68" i="19"/>
  <c r="M68" i="19"/>
  <c r="O68" i="19"/>
  <c r="P68" i="19"/>
  <c r="Q68" i="19"/>
  <c r="J43" i="19"/>
  <c r="N43" i="19"/>
  <c r="K44" i="19"/>
  <c r="L44" i="19"/>
  <c r="M44" i="19"/>
  <c r="O44" i="19"/>
  <c r="P44" i="19"/>
  <c r="Q44" i="19"/>
  <c r="J45" i="19"/>
  <c r="N45" i="19"/>
  <c r="K46" i="19"/>
  <c r="L46" i="19"/>
  <c r="M46" i="19"/>
  <c r="O46" i="19"/>
  <c r="P46" i="19"/>
  <c r="J47" i="19"/>
  <c r="N47" i="19"/>
  <c r="K48" i="19"/>
  <c r="L48" i="19"/>
  <c r="M48" i="19"/>
  <c r="O48" i="19"/>
  <c r="P48" i="19"/>
  <c r="Q48" i="19"/>
  <c r="J49" i="19"/>
  <c r="N49" i="19"/>
  <c r="K50" i="19"/>
  <c r="L50" i="19"/>
  <c r="M50" i="19"/>
  <c r="O50" i="19"/>
  <c r="P50" i="19"/>
  <c r="Q50" i="19"/>
  <c r="J51" i="19"/>
  <c r="N51" i="19"/>
  <c r="K52" i="19"/>
  <c r="L52" i="19"/>
  <c r="M52" i="19"/>
  <c r="O52" i="19"/>
  <c r="P52" i="19"/>
  <c r="Q52" i="19"/>
  <c r="N53" i="19"/>
  <c r="O54" i="19"/>
  <c r="P54" i="19"/>
  <c r="Q54" i="19"/>
  <c r="K55" i="19"/>
  <c r="L55" i="19"/>
  <c r="M55" i="19"/>
  <c r="O55" i="19"/>
  <c r="P55" i="19"/>
  <c r="Q55" i="19"/>
  <c r="J25" i="19"/>
  <c r="N25" i="19"/>
  <c r="J26" i="19"/>
  <c r="N26" i="19"/>
  <c r="J27" i="19"/>
  <c r="N27" i="19"/>
  <c r="N28" i="19"/>
  <c r="J29" i="19"/>
  <c r="N29" i="19"/>
  <c r="J30" i="19"/>
  <c r="N30" i="19"/>
  <c r="J31" i="19"/>
  <c r="N31" i="19"/>
  <c r="N32" i="19"/>
  <c r="K33" i="19"/>
  <c r="L33" i="19"/>
  <c r="M33" i="19"/>
  <c r="O33" i="19"/>
  <c r="P33" i="19"/>
  <c r="Q33" i="19"/>
  <c r="F30" i="19"/>
  <c r="F29" i="19"/>
  <c r="F28" i="19"/>
  <c r="F27" i="19"/>
  <c r="N96" i="19" l="1"/>
  <c r="K97" i="19"/>
  <c r="K110" i="19"/>
  <c r="J161" i="19"/>
  <c r="P732" i="19"/>
  <c r="S746" i="19"/>
  <c r="F172" i="19"/>
  <c r="F185" i="19"/>
  <c r="F176" i="19"/>
  <c r="J82" i="19"/>
  <c r="N172" i="19"/>
  <c r="L687" i="19"/>
  <c r="L700" i="19"/>
  <c r="F178" i="19"/>
  <c r="P685" i="19"/>
  <c r="F180" i="19"/>
  <c r="N33" i="19"/>
  <c r="K56" i="19"/>
  <c r="N68" i="19"/>
  <c r="J103" i="19"/>
  <c r="P165" i="19"/>
  <c r="J197" i="19"/>
  <c r="F182" i="19"/>
  <c r="G186" i="19"/>
  <c r="G165" i="19"/>
  <c r="H165" i="19"/>
  <c r="P837" i="19"/>
  <c r="P734" i="19"/>
  <c r="P744" i="19"/>
  <c r="P730" i="19"/>
  <c r="P736" i="19"/>
  <c r="R746" i="19"/>
  <c r="P740" i="19"/>
  <c r="N163" i="19"/>
  <c r="J198" i="19"/>
  <c r="N215" i="19"/>
  <c r="R279" i="19"/>
  <c r="J96" i="19"/>
  <c r="J110" i="19" s="1"/>
  <c r="N124" i="19"/>
  <c r="P738" i="19"/>
  <c r="Q701" i="19"/>
  <c r="P693" i="19"/>
  <c r="P689" i="19"/>
  <c r="L835" i="19"/>
  <c r="L845" i="19"/>
  <c r="N54" i="19"/>
  <c r="P849" i="19"/>
  <c r="P843" i="19"/>
  <c r="P845" i="19"/>
  <c r="M851" i="19"/>
  <c r="K486" i="19"/>
  <c r="L837" i="19"/>
  <c r="P695" i="19"/>
  <c r="N99" i="19"/>
  <c r="J227" i="19"/>
  <c r="M331" i="19"/>
  <c r="J185" i="19"/>
  <c r="J255" i="19"/>
  <c r="L628" i="19"/>
  <c r="P835" i="19"/>
  <c r="L841" i="19"/>
  <c r="L843" i="19"/>
  <c r="P699" i="19"/>
  <c r="J52" i="19"/>
  <c r="N80" i="19"/>
  <c r="P216" i="19"/>
  <c r="M216" i="19"/>
  <c r="L279" i="19"/>
  <c r="K370" i="19"/>
  <c r="N435" i="19"/>
  <c r="K469" i="19"/>
  <c r="O109" i="19"/>
  <c r="O111" i="19" s="1"/>
  <c r="S851" i="19"/>
  <c r="P780" i="19"/>
  <c r="P786" i="19"/>
  <c r="P745" i="19"/>
  <c r="P700" i="19"/>
  <c r="P691" i="19"/>
  <c r="S701" i="19"/>
  <c r="P687" i="19"/>
  <c r="P681" i="19"/>
  <c r="Q746" i="19"/>
  <c r="P784" i="19"/>
  <c r="P776" i="19"/>
  <c r="P795" i="19"/>
  <c r="P788" i="19"/>
  <c r="P794" i="19"/>
  <c r="P782" i="19"/>
  <c r="L833" i="19"/>
  <c r="L850" i="19"/>
  <c r="L839" i="19"/>
  <c r="P839" i="19"/>
  <c r="P850" i="19"/>
  <c r="Q56" i="19"/>
  <c r="N118" i="19"/>
  <c r="N128" i="19"/>
  <c r="L186" i="19"/>
  <c r="J242" i="19"/>
  <c r="J246" i="19" s="1"/>
  <c r="J256" i="19"/>
  <c r="L312" i="19"/>
  <c r="J664" i="19"/>
  <c r="J68" i="19"/>
  <c r="O110" i="19"/>
  <c r="N244" i="19"/>
  <c r="J626" i="19"/>
  <c r="J628" i="19" s="1"/>
  <c r="K233" i="19"/>
  <c r="J33" i="19"/>
  <c r="L110" i="19"/>
  <c r="L107" i="19"/>
  <c r="J159" i="19"/>
  <c r="Q165" i="19"/>
  <c r="L199" i="19"/>
  <c r="M257" i="19"/>
  <c r="J310" i="19"/>
  <c r="N329" i="19"/>
  <c r="J409" i="19"/>
  <c r="J544" i="19"/>
  <c r="J546" i="19"/>
  <c r="N75" i="19"/>
  <c r="J126" i="19"/>
  <c r="P186" i="19"/>
  <c r="N242" i="19"/>
  <c r="N321" i="19"/>
  <c r="N325" i="19"/>
  <c r="J399" i="19"/>
  <c r="J405" i="19"/>
  <c r="J480" i="19"/>
  <c r="J46" i="19"/>
  <c r="K86" i="19"/>
  <c r="K90" i="19" s="1"/>
  <c r="J75" i="19"/>
  <c r="L76" i="19"/>
  <c r="L90" i="19" s="1"/>
  <c r="N105" i="19"/>
  <c r="N134" i="19"/>
  <c r="J120" i="19"/>
  <c r="M165" i="19"/>
  <c r="N182" i="19"/>
  <c r="N180" i="19"/>
  <c r="N178" i="19"/>
  <c r="N176" i="19"/>
  <c r="N174" i="19"/>
  <c r="J225" i="19"/>
  <c r="J229" i="19"/>
  <c r="J231" i="19"/>
  <c r="N245" i="19"/>
  <c r="J308" i="19"/>
  <c r="J311" i="19"/>
  <c r="J383" i="19"/>
  <c r="J385" i="19"/>
  <c r="J463" i="19"/>
  <c r="J465" i="19"/>
  <c r="J528" i="19"/>
  <c r="L792" i="19"/>
  <c r="L782" i="19"/>
  <c r="L786" i="19"/>
  <c r="L788" i="19"/>
  <c r="L790" i="19"/>
  <c r="J44" i="19"/>
  <c r="N120" i="19"/>
  <c r="J157" i="19"/>
  <c r="J149" i="19"/>
  <c r="N327" i="19"/>
  <c r="J407" i="19"/>
  <c r="J482" i="19"/>
  <c r="J666" i="19"/>
  <c r="K89" i="19"/>
  <c r="P76" i="19"/>
  <c r="P88" i="19" s="1"/>
  <c r="J134" i="19"/>
  <c r="N132" i="19"/>
  <c r="O138" i="19"/>
  <c r="K138" i="19"/>
  <c r="N164" i="19"/>
  <c r="J178" i="19"/>
  <c r="J176" i="19"/>
  <c r="J174" i="19"/>
  <c r="J172" i="19"/>
  <c r="J208" i="19"/>
  <c r="J210" i="19"/>
  <c r="J245" i="19"/>
  <c r="J257" i="19"/>
  <c r="K275" i="19"/>
  <c r="K271" i="19"/>
  <c r="K273" i="19"/>
  <c r="K360" i="19"/>
  <c r="K364" i="19"/>
  <c r="K366" i="19"/>
  <c r="K368" i="19"/>
  <c r="J452" i="19"/>
  <c r="J449" i="19"/>
  <c r="J512" i="19"/>
  <c r="J514" i="19"/>
  <c r="J576" i="19"/>
  <c r="J578" i="19"/>
  <c r="L732" i="19"/>
  <c r="L742" i="19"/>
  <c r="L738" i="19"/>
  <c r="L740" i="19"/>
  <c r="N50" i="19"/>
  <c r="J668" i="19"/>
  <c r="N46" i="19"/>
  <c r="N65" i="19"/>
  <c r="N84" i="19"/>
  <c r="L111" i="19"/>
  <c r="J128" i="19"/>
  <c r="N151" i="19"/>
  <c r="N157" i="19"/>
  <c r="N153" i="19"/>
  <c r="J164" i="19"/>
  <c r="J195" i="19"/>
  <c r="J199" i="19" s="1"/>
  <c r="N208" i="19"/>
  <c r="N210" i="19"/>
  <c r="N212" i="19"/>
  <c r="O267" i="19"/>
  <c r="O277" i="19"/>
  <c r="O273" i="19"/>
  <c r="O275" i="19"/>
  <c r="J323" i="19"/>
  <c r="J325" i="19"/>
  <c r="K423" i="19"/>
  <c r="K427" i="19"/>
  <c r="K431" i="19"/>
  <c r="J496" i="19"/>
  <c r="J498" i="19"/>
  <c r="J560" i="19"/>
  <c r="J562" i="19"/>
  <c r="J627" i="19"/>
  <c r="K652" i="19"/>
  <c r="K642" i="19"/>
  <c r="K640" i="19"/>
  <c r="K646" i="19"/>
  <c r="K648" i="19"/>
  <c r="K650" i="19"/>
  <c r="L697" i="19"/>
  <c r="L685" i="19"/>
  <c r="L691" i="19"/>
  <c r="L693" i="19"/>
  <c r="L695" i="19"/>
  <c r="K69" i="19"/>
  <c r="K186" i="19"/>
  <c r="O216" i="19"/>
  <c r="M372" i="19"/>
  <c r="K502" i="19"/>
  <c r="K566" i="19"/>
  <c r="L56" i="19"/>
  <c r="K107" i="19"/>
  <c r="K111" i="19" s="1"/>
  <c r="P138" i="19"/>
  <c r="O165" i="19"/>
  <c r="O186" i="19"/>
  <c r="L502" i="19"/>
  <c r="K550" i="19"/>
  <c r="M233" i="19"/>
  <c r="M312" i="19"/>
  <c r="M534" i="19"/>
  <c r="L582" i="19"/>
  <c r="M701" i="19"/>
  <c r="N746" i="19"/>
  <c r="M90" i="19"/>
  <c r="P107" i="19"/>
  <c r="K165" i="19"/>
  <c r="M186" i="19"/>
  <c r="M199" i="19"/>
  <c r="P246" i="19"/>
  <c r="K246" i="19"/>
  <c r="Q138" i="19"/>
  <c r="M56" i="19"/>
  <c r="P110" i="19"/>
  <c r="P109" i="19"/>
  <c r="L138" i="19"/>
  <c r="M138" i="19"/>
  <c r="L165" i="19"/>
  <c r="Q186" i="19"/>
  <c r="Q246" i="19"/>
  <c r="L246" i="19"/>
  <c r="K257" i="19"/>
  <c r="K628" i="19"/>
  <c r="L795" i="19"/>
  <c r="L778" i="19"/>
  <c r="L776" i="19"/>
  <c r="L784" i="19"/>
  <c r="L736" i="19"/>
  <c r="L745" i="19"/>
  <c r="L734" i="19"/>
  <c r="L683" i="19"/>
  <c r="L681" i="19"/>
  <c r="L689" i="19"/>
  <c r="J670" i="19"/>
  <c r="J671" i="19"/>
  <c r="K638" i="19"/>
  <c r="K644" i="19"/>
  <c r="K653" i="19"/>
  <c r="J574" i="19"/>
  <c r="J581" i="19"/>
  <c r="J558" i="19"/>
  <c r="J564" i="19"/>
  <c r="J549" i="19"/>
  <c r="J542" i="19"/>
  <c r="J526" i="19"/>
  <c r="J533" i="19"/>
  <c r="J532" i="19"/>
  <c r="J510" i="19"/>
  <c r="J517" i="19"/>
  <c r="J501" i="19"/>
  <c r="J500" i="19"/>
  <c r="J478" i="19"/>
  <c r="J485" i="19"/>
  <c r="J461" i="19"/>
  <c r="J467" i="19"/>
  <c r="J445" i="19"/>
  <c r="J451" i="19"/>
  <c r="J443" i="19"/>
  <c r="K419" i="19"/>
  <c r="K425" i="19"/>
  <c r="K434" i="19"/>
  <c r="K421" i="19"/>
  <c r="K429" i="19"/>
  <c r="J403" i="19"/>
  <c r="J401" i="19"/>
  <c r="J410" i="19"/>
  <c r="J381" i="19"/>
  <c r="J387" i="19"/>
  <c r="K362" i="19"/>
  <c r="K356" i="19"/>
  <c r="K371" i="19"/>
  <c r="K358" i="19"/>
  <c r="J321" i="19"/>
  <c r="J330" i="19"/>
  <c r="N323" i="19"/>
  <c r="N330" i="19"/>
  <c r="K269" i="19"/>
  <c r="K278" i="19"/>
  <c r="K267" i="19"/>
  <c r="O271" i="19"/>
  <c r="O269" i="19"/>
  <c r="O278" i="19"/>
  <c r="J223" i="19"/>
  <c r="J232" i="19"/>
  <c r="J206" i="19"/>
  <c r="J215" i="19"/>
  <c r="N206" i="19"/>
  <c r="N214" i="19"/>
  <c r="J180" i="19"/>
  <c r="N185" i="19"/>
  <c r="N184" i="19"/>
  <c r="N159" i="19"/>
  <c r="N155" i="19"/>
  <c r="J155" i="19"/>
  <c r="J151" i="19"/>
  <c r="J145" i="19"/>
  <c r="J153" i="19"/>
  <c r="N147" i="19"/>
  <c r="J147" i="19"/>
  <c r="N137" i="19"/>
  <c r="J137" i="19"/>
  <c r="N136" i="19"/>
  <c r="J122" i="19"/>
  <c r="J118" i="19"/>
  <c r="J132" i="19"/>
  <c r="J124" i="19"/>
  <c r="N130" i="19"/>
  <c r="J130" i="19"/>
  <c r="N126" i="19"/>
  <c r="N97" i="19"/>
  <c r="N110" i="19"/>
  <c r="J97" i="19"/>
  <c r="J107" i="19"/>
  <c r="N109" i="19"/>
  <c r="N107" i="19"/>
  <c r="M111" i="19"/>
  <c r="N103" i="19"/>
  <c r="N101" i="19"/>
  <c r="J101" i="19"/>
  <c r="Q97" i="19"/>
  <c r="Q111" i="19" s="1"/>
  <c r="Q110" i="19"/>
  <c r="M110" i="19"/>
  <c r="J99" i="19"/>
  <c r="J76" i="19"/>
  <c r="J86" i="19"/>
  <c r="J89" i="19"/>
  <c r="N76" i="19"/>
  <c r="N89" i="19"/>
  <c r="N86" i="19"/>
  <c r="Q76" i="19"/>
  <c r="Q89" i="19"/>
  <c r="M89" i="19"/>
  <c r="J78" i="19"/>
  <c r="P90" i="19"/>
  <c r="P89" i="19"/>
  <c r="L89" i="19"/>
  <c r="N82" i="19"/>
  <c r="N78" i="19"/>
  <c r="O90" i="19"/>
  <c r="O69" i="19"/>
  <c r="N63" i="19"/>
  <c r="J63" i="19"/>
  <c r="J69" i="19" s="1"/>
  <c r="Q69" i="19"/>
  <c r="J50" i="19"/>
  <c r="N55" i="19"/>
  <c r="J55" i="19"/>
  <c r="N44" i="19"/>
  <c r="N52" i="19"/>
  <c r="N48" i="19"/>
  <c r="J48" i="19"/>
  <c r="P746" i="19" l="1"/>
  <c r="F186" i="19"/>
  <c r="J165" i="19"/>
  <c r="J518" i="19"/>
  <c r="J502" i="19"/>
  <c r="J233" i="19"/>
  <c r="N331" i="19"/>
  <c r="N165" i="19"/>
  <c r="J453" i="19"/>
  <c r="J469" i="19"/>
  <c r="L746" i="19"/>
  <c r="P111" i="19"/>
  <c r="N246" i="19"/>
  <c r="P851" i="19"/>
  <c r="P701" i="19"/>
  <c r="P796" i="19"/>
  <c r="L851" i="19"/>
  <c r="J216" i="19"/>
  <c r="J534" i="19"/>
  <c r="J550" i="19"/>
  <c r="J312" i="19"/>
  <c r="J186" i="19"/>
  <c r="O279" i="19"/>
  <c r="J331" i="19"/>
  <c r="J411" i="19"/>
  <c r="J566" i="19"/>
  <c r="K654" i="19"/>
  <c r="J56" i="19"/>
  <c r="J486" i="19"/>
  <c r="N186" i="19"/>
  <c r="K279" i="19"/>
  <c r="J582" i="19"/>
  <c r="J672" i="19"/>
  <c r="N138" i="19"/>
  <c r="L796" i="19"/>
  <c r="L701" i="19"/>
  <c r="K435" i="19"/>
  <c r="J389" i="19"/>
  <c r="K372" i="19"/>
  <c r="N216" i="19"/>
  <c r="J138" i="19"/>
  <c r="J111" i="19"/>
  <c r="N111" i="19"/>
  <c r="J90" i="19"/>
  <c r="N88" i="19"/>
  <c r="N90" i="19" s="1"/>
  <c r="Q88" i="19"/>
  <c r="Q90" i="19" s="1"/>
  <c r="N67" i="19"/>
  <c r="N69" i="19" s="1"/>
  <c r="I124" i="19" l="1"/>
  <c r="H132" i="19"/>
  <c r="H120" i="19"/>
  <c r="J650" i="19" l="1"/>
  <c r="J636" i="19"/>
  <c r="I636" i="19"/>
  <c r="H636" i="19"/>
  <c r="I638" i="19"/>
  <c r="H638" i="19"/>
  <c r="J642" i="19"/>
  <c r="I642" i="19"/>
  <c r="H642" i="19"/>
  <c r="J640" i="19"/>
  <c r="H640" i="19"/>
  <c r="J644" i="19"/>
  <c r="I644" i="19"/>
  <c r="H644" i="19"/>
  <c r="J646" i="19"/>
  <c r="I646" i="19"/>
  <c r="H646" i="19"/>
  <c r="J648" i="19"/>
  <c r="I648" i="19"/>
  <c r="H648" i="19"/>
  <c r="I650" i="19"/>
  <c r="H650" i="19"/>
  <c r="H652" i="19"/>
  <c r="I652" i="19"/>
  <c r="J652" i="19"/>
  <c r="H653" i="19"/>
  <c r="I653" i="19"/>
  <c r="J653" i="19"/>
  <c r="H546" i="19"/>
  <c r="G549" i="19"/>
  <c r="H654" i="19" l="1"/>
  <c r="I654" i="19"/>
  <c r="J654" i="19"/>
  <c r="F79" i="19"/>
  <c r="K681" i="19" l="1"/>
  <c r="I681" i="19"/>
  <c r="H670" i="19"/>
  <c r="I576" i="19"/>
  <c r="I526" i="19"/>
  <c r="I516" i="19"/>
  <c r="H516" i="19"/>
  <c r="G516" i="19"/>
  <c r="I514" i="19"/>
  <c r="H514" i="19"/>
  <c r="G514" i="19"/>
  <c r="H512" i="19"/>
  <c r="G512" i="19"/>
  <c r="G510" i="19"/>
  <c r="H510" i="19"/>
  <c r="I510" i="19"/>
  <c r="H482" i="19"/>
  <c r="I467" i="19"/>
  <c r="J425" i="19"/>
  <c r="I401" i="19"/>
  <c r="I397" i="19"/>
  <c r="J267" i="19"/>
  <c r="H267" i="19"/>
  <c r="H195" i="19"/>
  <c r="I197" i="19"/>
  <c r="H197" i="19"/>
  <c r="G197" i="19"/>
  <c r="I195" i="19"/>
  <c r="G195" i="19"/>
  <c r="G193" i="19"/>
  <c r="H193" i="19"/>
  <c r="I193" i="19"/>
  <c r="I132" i="19"/>
  <c r="I103" i="19"/>
  <c r="H103" i="19"/>
  <c r="G103" i="19"/>
  <c r="I101" i="19"/>
  <c r="H101" i="19"/>
  <c r="G101" i="19"/>
  <c r="G99" i="19"/>
  <c r="H99" i="19"/>
  <c r="I99" i="19"/>
  <c r="G65" i="19"/>
  <c r="H65" i="19"/>
  <c r="I65" i="19"/>
  <c r="G63" i="19"/>
  <c r="H63" i="19"/>
  <c r="H69" i="19" s="1"/>
  <c r="I63" i="19"/>
  <c r="K847" i="19"/>
  <c r="J847" i="19"/>
  <c r="I847" i="19"/>
  <c r="K845" i="19"/>
  <c r="J845" i="19"/>
  <c r="I845" i="19"/>
  <c r="K843" i="19"/>
  <c r="J843" i="19"/>
  <c r="I843" i="19"/>
  <c r="K841" i="19"/>
  <c r="J841" i="19"/>
  <c r="I841" i="19"/>
  <c r="K839" i="19"/>
  <c r="J839" i="19"/>
  <c r="I839" i="19"/>
  <c r="K837" i="19"/>
  <c r="I837" i="19"/>
  <c r="K835" i="19"/>
  <c r="J835" i="19"/>
  <c r="I835" i="19"/>
  <c r="I833" i="19"/>
  <c r="I851" i="19" s="1"/>
  <c r="J833" i="19"/>
  <c r="K833" i="19"/>
  <c r="K851" i="19" s="1"/>
  <c r="K792" i="19"/>
  <c r="J792" i="19"/>
  <c r="I792" i="19"/>
  <c r="K790" i="19"/>
  <c r="J790" i="19"/>
  <c r="I790" i="19"/>
  <c r="K788" i="19"/>
  <c r="J788" i="19"/>
  <c r="I788" i="19"/>
  <c r="K786" i="19"/>
  <c r="J786" i="19"/>
  <c r="I786" i="19"/>
  <c r="K784" i="19"/>
  <c r="J784" i="19"/>
  <c r="I784" i="19"/>
  <c r="K782" i="19"/>
  <c r="J782" i="19"/>
  <c r="I782" i="19"/>
  <c r="K780" i="19"/>
  <c r="J780" i="19"/>
  <c r="I780" i="19"/>
  <c r="K778" i="19"/>
  <c r="J778" i="19"/>
  <c r="I778" i="19"/>
  <c r="I776" i="19"/>
  <c r="J776" i="19"/>
  <c r="J796" i="19" s="1"/>
  <c r="K776" i="19"/>
  <c r="K742" i="19"/>
  <c r="J742" i="19"/>
  <c r="I742" i="19"/>
  <c r="K740" i="19"/>
  <c r="I740" i="19"/>
  <c r="K738" i="19"/>
  <c r="J738" i="19"/>
  <c r="I738" i="19"/>
  <c r="K736" i="19"/>
  <c r="J736" i="19"/>
  <c r="I736" i="19"/>
  <c r="J734" i="19"/>
  <c r="I734" i="19"/>
  <c r="K732" i="19"/>
  <c r="J732" i="19"/>
  <c r="J746" i="19" s="1"/>
  <c r="I732" i="19"/>
  <c r="I730" i="19"/>
  <c r="I746" i="19" s="1"/>
  <c r="K730" i="19"/>
  <c r="K697" i="19"/>
  <c r="J697" i="19"/>
  <c r="I697" i="19"/>
  <c r="K695" i="19"/>
  <c r="J695" i="19"/>
  <c r="I695" i="19"/>
  <c r="K693" i="19"/>
  <c r="J693" i="19"/>
  <c r="I693" i="19"/>
  <c r="K691" i="19"/>
  <c r="J691" i="19"/>
  <c r="I691" i="19"/>
  <c r="K689" i="19"/>
  <c r="J689" i="19"/>
  <c r="I689" i="19"/>
  <c r="K687" i="19"/>
  <c r="J687" i="19"/>
  <c r="I687" i="19"/>
  <c r="K685" i="19"/>
  <c r="J685" i="19"/>
  <c r="I685" i="19"/>
  <c r="K683" i="19"/>
  <c r="J683" i="19"/>
  <c r="I683" i="19"/>
  <c r="J681" i="19"/>
  <c r="J701" i="19" s="1"/>
  <c r="G671" i="19"/>
  <c r="H671" i="19"/>
  <c r="I671" i="19"/>
  <c r="I670" i="19"/>
  <c r="G670" i="19"/>
  <c r="I668" i="19"/>
  <c r="H668" i="19"/>
  <c r="I666" i="19"/>
  <c r="H666" i="19"/>
  <c r="G666" i="19"/>
  <c r="I664" i="19"/>
  <c r="H664" i="19"/>
  <c r="G664" i="19"/>
  <c r="G662" i="19"/>
  <c r="H662" i="19"/>
  <c r="I662" i="19"/>
  <c r="G637" i="19"/>
  <c r="G627" i="19"/>
  <c r="H627" i="19"/>
  <c r="I627" i="19"/>
  <c r="I626" i="19"/>
  <c r="H626" i="19"/>
  <c r="G626" i="19"/>
  <c r="G624" i="19"/>
  <c r="H624" i="19"/>
  <c r="I624" i="19"/>
  <c r="G597" i="19"/>
  <c r="H597" i="19"/>
  <c r="I597" i="19"/>
  <c r="K597" i="19"/>
  <c r="L597" i="19"/>
  <c r="M597" i="19"/>
  <c r="M596" i="19"/>
  <c r="L596" i="19"/>
  <c r="K596" i="19"/>
  <c r="I596" i="19"/>
  <c r="H596" i="19"/>
  <c r="G596" i="19"/>
  <c r="K594" i="19"/>
  <c r="I594" i="19"/>
  <c r="H594" i="19"/>
  <c r="G594" i="19"/>
  <c r="M592" i="19"/>
  <c r="L592" i="19"/>
  <c r="K592" i="19"/>
  <c r="H592" i="19"/>
  <c r="G592" i="19"/>
  <c r="F593" i="19"/>
  <c r="J593" i="19"/>
  <c r="G581" i="19"/>
  <c r="H581" i="19"/>
  <c r="I581" i="19"/>
  <c r="G565" i="19"/>
  <c r="H565" i="19"/>
  <c r="I565" i="19"/>
  <c r="I548" i="19"/>
  <c r="H548" i="19"/>
  <c r="G548" i="19"/>
  <c r="I546" i="19"/>
  <c r="G546" i="19"/>
  <c r="I544" i="19"/>
  <c r="H544" i="19"/>
  <c r="G544" i="19"/>
  <c r="G542" i="19"/>
  <c r="H542" i="19"/>
  <c r="I542" i="19"/>
  <c r="H549" i="19"/>
  <c r="I549" i="19"/>
  <c r="G533" i="19"/>
  <c r="H533" i="19"/>
  <c r="I533" i="19"/>
  <c r="G517" i="19"/>
  <c r="H517" i="19"/>
  <c r="I517" i="19"/>
  <c r="G501" i="19"/>
  <c r="H501" i="19"/>
  <c r="I501" i="19"/>
  <c r="G485" i="19"/>
  <c r="H485" i="19"/>
  <c r="I485" i="19"/>
  <c r="G468" i="19"/>
  <c r="H468" i="19"/>
  <c r="I468" i="19"/>
  <c r="I580" i="19"/>
  <c r="H580" i="19"/>
  <c r="G580" i="19"/>
  <c r="I578" i="19"/>
  <c r="H578" i="19"/>
  <c r="G578" i="19"/>
  <c r="H576" i="19"/>
  <c r="G576" i="19"/>
  <c r="G574" i="19"/>
  <c r="H574" i="19"/>
  <c r="I574" i="19"/>
  <c r="I564" i="19"/>
  <c r="H564" i="19"/>
  <c r="G564" i="19"/>
  <c r="I562" i="19"/>
  <c r="H562" i="19"/>
  <c r="G562" i="19"/>
  <c r="I560" i="19"/>
  <c r="H560" i="19"/>
  <c r="G560" i="19"/>
  <c r="H558" i="19"/>
  <c r="I558" i="19"/>
  <c r="I532" i="19"/>
  <c r="H532" i="19"/>
  <c r="G532" i="19"/>
  <c r="I530" i="19"/>
  <c r="H530" i="19"/>
  <c r="G530" i="19"/>
  <c r="I528" i="19"/>
  <c r="H528" i="19"/>
  <c r="G528" i="19"/>
  <c r="G526" i="19"/>
  <c r="H526" i="19"/>
  <c r="I500" i="19"/>
  <c r="H500" i="19"/>
  <c r="G500" i="19"/>
  <c r="I498" i="19"/>
  <c r="H498" i="19"/>
  <c r="G498" i="19"/>
  <c r="I496" i="19"/>
  <c r="G496" i="19"/>
  <c r="G494" i="19"/>
  <c r="H494" i="19"/>
  <c r="I494" i="19"/>
  <c r="I484" i="19"/>
  <c r="H484" i="19"/>
  <c r="G484" i="19"/>
  <c r="I482" i="19"/>
  <c r="G482" i="19"/>
  <c r="I478" i="19"/>
  <c r="H478" i="19"/>
  <c r="G478" i="19"/>
  <c r="H480" i="19"/>
  <c r="I480" i="19"/>
  <c r="H467" i="19"/>
  <c r="G467" i="19"/>
  <c r="I465" i="19"/>
  <c r="G465" i="19"/>
  <c r="I463" i="19"/>
  <c r="H463" i="19"/>
  <c r="G463" i="19"/>
  <c r="G461" i="19"/>
  <c r="H461" i="19"/>
  <c r="I461" i="19"/>
  <c r="G452" i="19"/>
  <c r="H452" i="19"/>
  <c r="I452" i="19"/>
  <c r="I451" i="19"/>
  <c r="H451" i="19"/>
  <c r="G451" i="19"/>
  <c r="I449" i="19"/>
  <c r="G449" i="19"/>
  <c r="I447" i="19"/>
  <c r="H447" i="19"/>
  <c r="G447" i="19"/>
  <c r="I445" i="19"/>
  <c r="H445" i="19"/>
  <c r="G445" i="19"/>
  <c r="G443" i="19"/>
  <c r="H443" i="19"/>
  <c r="I443" i="19"/>
  <c r="H434" i="19"/>
  <c r="I434" i="19"/>
  <c r="J434" i="19"/>
  <c r="J433" i="19"/>
  <c r="I433" i="19"/>
  <c r="H433" i="19"/>
  <c r="J431" i="19"/>
  <c r="I431" i="19"/>
  <c r="H431" i="19"/>
  <c r="J429" i="19"/>
  <c r="I429" i="19"/>
  <c r="H429" i="19"/>
  <c r="J427" i="19"/>
  <c r="I427" i="19"/>
  <c r="H427" i="19"/>
  <c r="I425" i="19"/>
  <c r="H425" i="19"/>
  <c r="J423" i="19"/>
  <c r="I423" i="19"/>
  <c r="H423" i="19"/>
  <c r="J421" i="19"/>
  <c r="H419" i="19"/>
  <c r="I419" i="19"/>
  <c r="J419" i="19"/>
  <c r="G410" i="19"/>
  <c r="H410" i="19"/>
  <c r="I410" i="19"/>
  <c r="I409" i="19"/>
  <c r="H409" i="19"/>
  <c r="G409" i="19"/>
  <c r="I407" i="19"/>
  <c r="H407" i="19"/>
  <c r="G407" i="19"/>
  <c r="H405" i="19"/>
  <c r="G405" i="19"/>
  <c r="I403" i="19"/>
  <c r="H403" i="19"/>
  <c r="G403" i="19"/>
  <c r="H401" i="19"/>
  <c r="G401" i="19"/>
  <c r="I399" i="19"/>
  <c r="H399" i="19"/>
  <c r="G399" i="19"/>
  <c r="G397" i="19"/>
  <c r="H397" i="19"/>
  <c r="F396" i="19"/>
  <c r="F382" i="19"/>
  <c r="F380" i="19"/>
  <c r="G388" i="19"/>
  <c r="H388" i="19"/>
  <c r="I388" i="19"/>
  <c r="I387" i="19"/>
  <c r="H387" i="19"/>
  <c r="G387" i="19"/>
  <c r="I385" i="19"/>
  <c r="H385" i="19"/>
  <c r="G385" i="19"/>
  <c r="I383" i="19"/>
  <c r="H383" i="19"/>
  <c r="G383" i="19"/>
  <c r="H381" i="19"/>
  <c r="I381" i="19"/>
  <c r="I327" i="19"/>
  <c r="H327" i="19"/>
  <c r="G327" i="19"/>
  <c r="I325" i="19"/>
  <c r="H325" i="19"/>
  <c r="G325" i="19"/>
  <c r="I323" i="19"/>
  <c r="H323" i="19"/>
  <c r="G323" i="19"/>
  <c r="G321" i="19"/>
  <c r="H321" i="19"/>
  <c r="I321" i="19"/>
  <c r="G311" i="19"/>
  <c r="H311" i="19"/>
  <c r="I311" i="19"/>
  <c r="I310" i="19"/>
  <c r="H310" i="19"/>
  <c r="G310" i="19"/>
  <c r="I308" i="19"/>
  <c r="H308" i="19"/>
  <c r="G308" i="19"/>
  <c r="H306" i="19"/>
  <c r="J275" i="19"/>
  <c r="I275" i="19"/>
  <c r="H275" i="19"/>
  <c r="J273" i="19"/>
  <c r="I273" i="19"/>
  <c r="H273" i="19"/>
  <c r="J271" i="19"/>
  <c r="I271" i="19"/>
  <c r="H271" i="19"/>
  <c r="J269" i="19"/>
  <c r="I269" i="19"/>
  <c r="H269" i="19"/>
  <c r="I267" i="19"/>
  <c r="H265" i="19"/>
  <c r="I265" i="19"/>
  <c r="J265" i="19"/>
  <c r="G256" i="19"/>
  <c r="H256" i="19"/>
  <c r="I256" i="19"/>
  <c r="I255" i="19"/>
  <c r="H255" i="19"/>
  <c r="G255" i="19"/>
  <c r="G253" i="19"/>
  <c r="H253" i="19"/>
  <c r="I253" i="19"/>
  <c r="I242" i="19"/>
  <c r="H242" i="19"/>
  <c r="G242" i="19"/>
  <c r="G240" i="19"/>
  <c r="H240" i="19"/>
  <c r="H246" i="19" s="1"/>
  <c r="I240" i="19"/>
  <c r="G232" i="19"/>
  <c r="H232" i="19"/>
  <c r="I232" i="19"/>
  <c r="I231" i="19"/>
  <c r="H231" i="19"/>
  <c r="G231" i="19"/>
  <c r="I229" i="19"/>
  <c r="H229" i="19"/>
  <c r="G229" i="19"/>
  <c r="I227" i="19"/>
  <c r="H227" i="19"/>
  <c r="G227" i="19"/>
  <c r="I225" i="19"/>
  <c r="H225" i="19"/>
  <c r="G225" i="19"/>
  <c r="G223" i="19"/>
  <c r="H223" i="19"/>
  <c r="I223" i="19"/>
  <c r="I212" i="19"/>
  <c r="H212" i="19"/>
  <c r="G212" i="19"/>
  <c r="I210" i="19"/>
  <c r="H210" i="19"/>
  <c r="G210" i="19"/>
  <c r="I208" i="19"/>
  <c r="H208" i="19"/>
  <c r="G208" i="19"/>
  <c r="G206" i="19"/>
  <c r="H206" i="19"/>
  <c r="H216" i="19" s="1"/>
  <c r="I206" i="19"/>
  <c r="G198" i="19"/>
  <c r="H198" i="19"/>
  <c r="I198" i="19"/>
  <c r="I134" i="19"/>
  <c r="H134" i="19"/>
  <c r="G134" i="19"/>
  <c r="G132" i="19"/>
  <c r="I130" i="19"/>
  <c r="H130" i="19"/>
  <c r="G130" i="19"/>
  <c r="I128" i="19"/>
  <c r="H128" i="19"/>
  <c r="G128" i="19"/>
  <c r="I126" i="19"/>
  <c r="H126" i="19"/>
  <c r="G126" i="19"/>
  <c r="H124" i="19"/>
  <c r="G124" i="19"/>
  <c r="I122" i="19"/>
  <c r="I138" i="19" s="1"/>
  <c r="H122" i="19"/>
  <c r="G122" i="19"/>
  <c r="I120" i="19"/>
  <c r="G120" i="19"/>
  <c r="H118" i="19"/>
  <c r="H138" i="19" s="1"/>
  <c r="G90" i="19"/>
  <c r="I80" i="19"/>
  <c r="H80" i="19"/>
  <c r="G80" i="19"/>
  <c r="G78" i="19"/>
  <c r="H78" i="19"/>
  <c r="I78" i="19"/>
  <c r="I52" i="19"/>
  <c r="H52" i="19"/>
  <c r="G52" i="19"/>
  <c r="I50" i="19"/>
  <c r="H50" i="19"/>
  <c r="G50" i="19"/>
  <c r="I48" i="19"/>
  <c r="H48" i="19"/>
  <c r="G48" i="19"/>
  <c r="I46" i="19"/>
  <c r="H46" i="19"/>
  <c r="G46" i="19"/>
  <c r="G44" i="19"/>
  <c r="H44" i="19"/>
  <c r="H56" i="19" s="1"/>
  <c r="I44" i="19"/>
  <c r="H846" i="19"/>
  <c r="H844" i="19"/>
  <c r="H842" i="19"/>
  <c r="H840" i="19"/>
  <c r="H838" i="19"/>
  <c r="H836" i="19"/>
  <c r="H834" i="19"/>
  <c r="H832" i="19"/>
  <c r="H850" i="19" s="1"/>
  <c r="H791" i="19"/>
  <c r="H789" i="19"/>
  <c r="H787" i="19"/>
  <c r="H785" i="19"/>
  <c r="H783" i="19"/>
  <c r="H781" i="19"/>
  <c r="H779" i="19"/>
  <c r="H777" i="19"/>
  <c r="H795" i="19" s="1"/>
  <c r="H741" i="19"/>
  <c r="H739" i="19"/>
  <c r="H737" i="19"/>
  <c r="H735" i="19"/>
  <c r="H733" i="19"/>
  <c r="H731" i="19"/>
  <c r="H729" i="19"/>
  <c r="H696" i="19"/>
  <c r="H694" i="19"/>
  <c r="H692" i="19"/>
  <c r="H690" i="19"/>
  <c r="H688" i="19"/>
  <c r="H686" i="19"/>
  <c r="H684" i="19"/>
  <c r="H682" i="19"/>
  <c r="H680" i="19"/>
  <c r="F669" i="19"/>
  <c r="F667" i="19"/>
  <c r="F665" i="19"/>
  <c r="F663" i="19"/>
  <c r="F661" i="19"/>
  <c r="G649" i="19"/>
  <c r="G647" i="19"/>
  <c r="G645" i="19"/>
  <c r="G643" i="19"/>
  <c r="G651" i="19"/>
  <c r="G639" i="19"/>
  <c r="G641" i="19"/>
  <c r="G635" i="19"/>
  <c r="F625" i="19"/>
  <c r="F623" i="19"/>
  <c r="J595" i="19"/>
  <c r="F595" i="19"/>
  <c r="J591" i="19"/>
  <c r="F591" i="19"/>
  <c r="J589" i="19"/>
  <c r="F589" i="19"/>
  <c r="F579" i="19"/>
  <c r="F577" i="19"/>
  <c r="F575" i="19"/>
  <c r="F573" i="19"/>
  <c r="F563" i="19"/>
  <c r="F561" i="19"/>
  <c r="F559" i="19"/>
  <c r="F557" i="19"/>
  <c r="F547" i="19"/>
  <c r="F545" i="19"/>
  <c r="F543" i="19"/>
  <c r="F541" i="19"/>
  <c r="F531" i="19"/>
  <c r="F529" i="19"/>
  <c r="F527" i="19"/>
  <c r="F525" i="19"/>
  <c r="F515" i="19"/>
  <c r="F513" i="19"/>
  <c r="F511" i="19"/>
  <c r="F509" i="19"/>
  <c r="F499" i="19"/>
  <c r="F497" i="19"/>
  <c r="F495" i="19"/>
  <c r="F493" i="19"/>
  <c r="F483" i="19"/>
  <c r="F481" i="19"/>
  <c r="F479" i="19"/>
  <c r="F477" i="19"/>
  <c r="F466" i="19"/>
  <c r="F464" i="19"/>
  <c r="F462" i="19"/>
  <c r="F460" i="19"/>
  <c r="F450" i="19"/>
  <c r="F448" i="19"/>
  <c r="F446" i="19"/>
  <c r="F444" i="19"/>
  <c r="F442" i="19"/>
  <c r="G432" i="19"/>
  <c r="G430" i="19"/>
  <c r="G428" i="19"/>
  <c r="G426" i="19"/>
  <c r="G424" i="19"/>
  <c r="G422" i="19"/>
  <c r="G420" i="19"/>
  <c r="G418" i="19"/>
  <c r="F408" i="19"/>
  <c r="F406" i="19"/>
  <c r="F404" i="19"/>
  <c r="F402" i="19"/>
  <c r="F400" i="19"/>
  <c r="F398" i="19"/>
  <c r="F386" i="19"/>
  <c r="F384" i="19"/>
  <c r="J371" i="19"/>
  <c r="I371" i="19"/>
  <c r="H371" i="19"/>
  <c r="J370" i="19"/>
  <c r="I370" i="19"/>
  <c r="H370" i="19"/>
  <c r="G369" i="19"/>
  <c r="J368" i="19"/>
  <c r="I368" i="19"/>
  <c r="H368" i="19"/>
  <c r="G367" i="19"/>
  <c r="J366" i="19"/>
  <c r="I366" i="19"/>
  <c r="H366" i="19"/>
  <c r="G365" i="19"/>
  <c r="J364" i="19"/>
  <c r="H364" i="19"/>
  <c r="G363" i="19"/>
  <c r="J362" i="19"/>
  <c r="I362" i="19"/>
  <c r="H362" i="19"/>
  <c r="G361" i="19"/>
  <c r="J360" i="19"/>
  <c r="I360" i="19"/>
  <c r="H360" i="19"/>
  <c r="G359" i="19"/>
  <c r="J358" i="19"/>
  <c r="I358" i="19"/>
  <c r="H358" i="19"/>
  <c r="G357" i="19"/>
  <c r="J356" i="19"/>
  <c r="I356" i="19"/>
  <c r="H356" i="19"/>
  <c r="G355" i="19"/>
  <c r="F326" i="19"/>
  <c r="F324" i="19"/>
  <c r="F322" i="19"/>
  <c r="F320" i="19"/>
  <c r="F309" i="19"/>
  <c r="F307" i="19"/>
  <c r="F305" i="19"/>
  <c r="G274" i="19"/>
  <c r="G272" i="19"/>
  <c r="G270" i="19"/>
  <c r="G268" i="19"/>
  <c r="G266" i="19"/>
  <c r="G264" i="19"/>
  <c r="F241" i="19"/>
  <c r="F239" i="19"/>
  <c r="F245" i="19" s="1"/>
  <c r="F230" i="19"/>
  <c r="F228" i="19"/>
  <c r="F226" i="19"/>
  <c r="F224" i="19"/>
  <c r="F222" i="19"/>
  <c r="F211" i="19"/>
  <c r="F209" i="19"/>
  <c r="F207" i="19"/>
  <c r="F205" i="19"/>
  <c r="F196" i="19"/>
  <c r="F194" i="19"/>
  <c r="F192" i="19"/>
  <c r="F160" i="19"/>
  <c r="F158" i="19"/>
  <c r="F156" i="19"/>
  <c r="F154" i="19"/>
  <c r="F155" i="19" s="1"/>
  <c r="F152" i="19"/>
  <c r="F150" i="19"/>
  <c r="F148" i="19"/>
  <c r="F146" i="19"/>
  <c r="F147" i="19" s="1"/>
  <c r="F144" i="19"/>
  <c r="F133" i="19"/>
  <c r="F131" i="19"/>
  <c r="F129" i="19"/>
  <c r="F127" i="19"/>
  <c r="F125" i="19"/>
  <c r="F123" i="19"/>
  <c r="F121" i="19"/>
  <c r="F119" i="19"/>
  <c r="F117" i="19"/>
  <c r="F106" i="19"/>
  <c r="F102" i="19"/>
  <c r="F100" i="19"/>
  <c r="F98" i="19"/>
  <c r="I82" i="19"/>
  <c r="H82" i="19"/>
  <c r="G82" i="19"/>
  <c r="F77" i="19"/>
  <c r="F64" i="19"/>
  <c r="F62" i="19"/>
  <c r="F68" i="19" s="1"/>
  <c r="F51" i="19"/>
  <c r="F49" i="19"/>
  <c r="F47" i="19"/>
  <c r="F45" i="19"/>
  <c r="F31" i="19"/>
  <c r="F149" i="19" l="1"/>
  <c r="F157" i="19"/>
  <c r="H700" i="19"/>
  <c r="H745" i="19"/>
  <c r="H738" i="19"/>
  <c r="H780" i="19"/>
  <c r="I56" i="19"/>
  <c r="G216" i="19"/>
  <c r="I246" i="19"/>
  <c r="K746" i="19"/>
  <c r="I796" i="19"/>
  <c r="I69" i="19"/>
  <c r="F137" i="19"/>
  <c r="F151" i="19"/>
  <c r="F310" i="19"/>
  <c r="F597" i="19"/>
  <c r="G138" i="19"/>
  <c r="F159" i="19"/>
  <c r="F55" i="19"/>
  <c r="F145" i="19"/>
  <c r="F164" i="19"/>
  <c r="F153" i="19"/>
  <c r="F161" i="19"/>
  <c r="F215" i="19"/>
  <c r="F330" i="19"/>
  <c r="G358" i="19"/>
  <c r="G56" i="19"/>
  <c r="I216" i="19"/>
  <c r="G246" i="19"/>
  <c r="K796" i="19"/>
  <c r="J851" i="19"/>
  <c r="G69" i="19"/>
  <c r="I701" i="19"/>
  <c r="K701" i="19"/>
  <c r="J596" i="19"/>
  <c r="J279" i="19"/>
  <c r="F381" i="19"/>
  <c r="G278" i="19"/>
  <c r="F403" i="19"/>
  <c r="H331" i="19"/>
  <c r="I279" i="19"/>
  <c r="H279" i="19"/>
  <c r="G427" i="19"/>
  <c r="G331" i="19"/>
  <c r="I331" i="19"/>
  <c r="G640" i="19"/>
  <c r="G648" i="19"/>
  <c r="G638" i="19"/>
  <c r="G652" i="19"/>
  <c r="G650" i="19"/>
  <c r="G636" i="19"/>
  <c r="G653" i="19"/>
  <c r="G646" i="19"/>
  <c r="H628" i="19"/>
  <c r="F193" i="19"/>
  <c r="F510" i="19"/>
  <c r="F195" i="19"/>
  <c r="F512" i="19"/>
  <c r="G107" i="19"/>
  <c r="G111" i="19" s="1"/>
  <c r="F197" i="19"/>
  <c r="F514" i="19"/>
  <c r="H672" i="19"/>
  <c r="F516" i="19"/>
  <c r="F664" i="19"/>
  <c r="H782" i="19"/>
  <c r="H839" i="19"/>
  <c r="H689" i="19"/>
  <c r="H847" i="19"/>
  <c r="F65" i="19"/>
  <c r="F78" i="19"/>
  <c r="H683" i="19"/>
  <c r="H693" i="19"/>
  <c r="F668" i="19"/>
  <c r="H685" i="19"/>
  <c r="H695" i="19"/>
  <c r="H835" i="19"/>
  <c r="H843" i="19"/>
  <c r="G628" i="19"/>
  <c r="I672" i="19"/>
  <c r="H691" i="19"/>
  <c r="H790" i="19"/>
  <c r="F666" i="19"/>
  <c r="H833" i="19"/>
  <c r="H841" i="19"/>
  <c r="F101" i="19"/>
  <c r="F103" i="19"/>
  <c r="F627" i="19"/>
  <c r="F671" i="19"/>
  <c r="F670" i="19"/>
  <c r="H687" i="19"/>
  <c r="H697" i="19"/>
  <c r="H788" i="19"/>
  <c r="H837" i="19"/>
  <c r="H845" i="19"/>
  <c r="G672" i="19"/>
  <c r="H730" i="19"/>
  <c r="H732" i="19"/>
  <c r="H734" i="19"/>
  <c r="H736" i="19"/>
  <c r="H740" i="19"/>
  <c r="H742" i="19"/>
  <c r="F626" i="19"/>
  <c r="H776" i="19"/>
  <c r="H778" i="19"/>
  <c r="H784" i="19"/>
  <c r="H786" i="19"/>
  <c r="H792" i="19"/>
  <c r="F99" i="19"/>
  <c r="F662" i="19"/>
  <c r="H681" i="19"/>
  <c r="F63" i="19"/>
  <c r="F69" i="19" s="1"/>
  <c r="I107" i="19"/>
  <c r="H107" i="19"/>
  <c r="F624" i="19"/>
  <c r="G469" i="19"/>
  <c r="G486" i="19"/>
  <c r="G502" i="19"/>
  <c r="G518" i="19"/>
  <c r="G534" i="19"/>
  <c r="I628" i="19"/>
  <c r="I469" i="19"/>
  <c r="I486" i="19"/>
  <c r="H486" i="19"/>
  <c r="I502" i="19"/>
  <c r="I518" i="19"/>
  <c r="I534" i="19"/>
  <c r="I566" i="19"/>
  <c r="I582" i="19"/>
  <c r="H550" i="19"/>
  <c r="H566" i="19"/>
  <c r="H582" i="19"/>
  <c r="J597" i="19"/>
  <c r="F594" i="19"/>
  <c r="H469" i="19"/>
  <c r="H502" i="19"/>
  <c r="H518" i="19"/>
  <c r="H534" i="19"/>
  <c r="G550" i="19"/>
  <c r="F592" i="19"/>
  <c r="J592" i="19"/>
  <c r="J594" i="19"/>
  <c r="F596" i="19"/>
  <c r="F452" i="19"/>
  <c r="F468" i="19"/>
  <c r="F485" i="19"/>
  <c r="F501" i="19"/>
  <c r="F517" i="19"/>
  <c r="F533" i="19"/>
  <c r="F548" i="19"/>
  <c r="F565" i="19"/>
  <c r="F581" i="19"/>
  <c r="I453" i="19"/>
  <c r="G453" i="19"/>
  <c r="H453" i="19"/>
  <c r="G566" i="19"/>
  <c r="G582" i="19"/>
  <c r="F461" i="19"/>
  <c r="F463" i="19"/>
  <c r="F465" i="19"/>
  <c r="F467" i="19"/>
  <c r="F480" i="19"/>
  <c r="F478" i="19"/>
  <c r="F482" i="19"/>
  <c r="F484" i="19"/>
  <c r="F494" i="19"/>
  <c r="F496" i="19"/>
  <c r="F498" i="19"/>
  <c r="F500" i="19"/>
  <c r="F526" i="19"/>
  <c r="F528" i="19"/>
  <c r="F530" i="19"/>
  <c r="F532" i="19"/>
  <c r="F558" i="19"/>
  <c r="F560" i="19"/>
  <c r="F562" i="19"/>
  <c r="F564" i="19"/>
  <c r="F574" i="19"/>
  <c r="F576" i="19"/>
  <c r="F578" i="19"/>
  <c r="F580" i="19"/>
  <c r="F549" i="19"/>
  <c r="F447" i="19"/>
  <c r="J435" i="19"/>
  <c r="H435" i="19"/>
  <c r="F542" i="19"/>
  <c r="F546" i="19"/>
  <c r="I550" i="19"/>
  <c r="F443" i="19"/>
  <c r="F445" i="19"/>
  <c r="F449" i="19"/>
  <c r="F451" i="19"/>
  <c r="I435" i="19"/>
  <c r="F388" i="19"/>
  <c r="G434" i="19"/>
  <c r="G419" i="19"/>
  <c r="G421" i="19"/>
  <c r="G423" i="19"/>
  <c r="G425" i="19"/>
  <c r="G429" i="19"/>
  <c r="G431" i="19"/>
  <c r="G433" i="19"/>
  <c r="H411" i="19"/>
  <c r="G411" i="19"/>
  <c r="I199" i="19"/>
  <c r="I312" i="19"/>
  <c r="I389" i="19"/>
  <c r="F410" i="19"/>
  <c r="F409" i="19"/>
  <c r="I411" i="19"/>
  <c r="F397" i="19"/>
  <c r="F399" i="19"/>
  <c r="F401" i="19"/>
  <c r="F405" i="19"/>
  <c r="F407" i="19"/>
  <c r="H257" i="19"/>
  <c r="G312" i="19"/>
  <c r="F387" i="19"/>
  <c r="H389" i="19"/>
  <c r="G389" i="19"/>
  <c r="F311" i="19"/>
  <c r="H312" i="19"/>
  <c r="F383" i="19"/>
  <c r="F385" i="19"/>
  <c r="G233" i="19"/>
  <c r="I257" i="19"/>
  <c r="F306" i="19"/>
  <c r="F308" i="19"/>
  <c r="F321" i="19"/>
  <c r="F323" i="19"/>
  <c r="F325" i="19"/>
  <c r="F327" i="19"/>
  <c r="F80" i="19"/>
  <c r="G199" i="19"/>
  <c r="I233" i="19"/>
  <c r="F44" i="19"/>
  <c r="F120" i="19"/>
  <c r="H90" i="19"/>
  <c r="G257" i="19"/>
  <c r="F253" i="19"/>
  <c r="G269" i="19"/>
  <c r="F208" i="19"/>
  <c r="F255" i="19"/>
  <c r="G271" i="19"/>
  <c r="I90" i="19"/>
  <c r="F240" i="19"/>
  <c r="F246" i="19" s="1"/>
  <c r="F242" i="19"/>
  <c r="F210" i="19"/>
  <c r="G275" i="19"/>
  <c r="G273" i="19"/>
  <c r="H233" i="19"/>
  <c r="F198" i="19"/>
  <c r="F212" i="19"/>
  <c r="H199" i="19"/>
  <c r="G265" i="19"/>
  <c r="G267" i="19"/>
  <c r="F126" i="19"/>
  <c r="F134" i="19"/>
  <c r="F52" i="19"/>
  <c r="F46" i="19"/>
  <c r="F128" i="19"/>
  <c r="F232" i="19"/>
  <c r="F229" i="19"/>
  <c r="F227" i="19"/>
  <c r="F223" i="19"/>
  <c r="F231" i="19"/>
  <c r="G364" i="19"/>
  <c r="F122" i="19"/>
  <c r="F130" i="19"/>
  <c r="F225" i="19"/>
  <c r="G366" i="19"/>
  <c r="F48" i="19"/>
  <c r="F50" i="19"/>
  <c r="F118" i="19"/>
  <c r="F138" i="19" s="1"/>
  <c r="F124" i="19"/>
  <c r="F132" i="19"/>
  <c r="F206" i="19"/>
  <c r="I372" i="19"/>
  <c r="F82" i="19"/>
  <c r="H372" i="19"/>
  <c r="G360" i="19"/>
  <c r="G362" i="19"/>
  <c r="J372" i="19"/>
  <c r="G368" i="19"/>
  <c r="G356" i="19"/>
  <c r="G370" i="19"/>
  <c r="G371" i="19"/>
  <c r="F216" i="19" l="1"/>
  <c r="I111" i="19"/>
  <c r="H746" i="19"/>
  <c r="H111" i="19"/>
  <c r="H701" i="19"/>
  <c r="H796" i="19"/>
  <c r="F56" i="19"/>
  <c r="H851" i="19"/>
  <c r="F165" i="19"/>
  <c r="F312" i="19"/>
  <c r="G279" i="19"/>
  <c r="F331" i="19"/>
  <c r="F107" i="19"/>
  <c r="F628" i="19"/>
  <c r="G654" i="19"/>
  <c r="F550" i="19"/>
  <c r="F199" i="19"/>
  <c r="F518" i="19"/>
  <c r="F672" i="19"/>
  <c r="G372" i="19"/>
  <c r="F90" i="19"/>
  <c r="F486" i="19"/>
  <c r="F582" i="19"/>
  <c r="F566" i="19"/>
  <c r="F534" i="19"/>
  <c r="F502" i="19"/>
  <c r="F469" i="19"/>
  <c r="F453" i="19"/>
  <c r="G435" i="19"/>
  <c r="F411" i="19"/>
  <c r="F389" i="19"/>
  <c r="F233" i="19"/>
  <c r="F257" i="19"/>
  <c r="F111" i="19" l="1"/>
  <c r="H590" i="19" l="1"/>
  <c r="H598" i="19" s="1"/>
  <c r="M590" i="19"/>
  <c r="M598" i="19" s="1"/>
  <c r="K590" i="19"/>
  <c r="K598" i="19" s="1"/>
  <c r="J590" i="19"/>
  <c r="J598" i="19" s="1"/>
  <c r="G590" i="19"/>
  <c r="G598" i="19" s="1"/>
  <c r="I590" i="19"/>
  <c r="I598" i="19" s="1"/>
  <c r="L590" i="19"/>
  <c r="L598" i="19" s="1"/>
  <c r="F590" i="19"/>
  <c r="F598" i="19" s="1"/>
</calcChain>
</file>

<file path=xl/sharedStrings.xml><?xml version="1.0" encoding="utf-8"?>
<sst xmlns="http://schemas.openxmlformats.org/spreadsheetml/2006/main" count="1004" uniqueCount="281">
  <si>
    <t>友人などからの紹介</t>
    <rPh sb="0" eb="2">
      <t>ユウジン</t>
    </rPh>
    <rPh sb="7" eb="9">
      <t>ショウカイ</t>
    </rPh>
    <phoneticPr fontId="2"/>
  </si>
  <si>
    <t>カンファレンスへの参加</t>
    <rPh sb="9" eb="11">
      <t>サンカ</t>
    </rPh>
    <phoneticPr fontId="2"/>
  </si>
  <si>
    <t>勤務なし（休み）</t>
    <rPh sb="0" eb="2">
      <t>キンム</t>
    </rPh>
    <rPh sb="5" eb="6">
      <t>ヤス</t>
    </rPh>
    <phoneticPr fontId="2"/>
  </si>
  <si>
    <t>１年</t>
    <rPh sb="1" eb="2">
      <t>ネン</t>
    </rPh>
    <phoneticPr fontId="2"/>
  </si>
  <si>
    <t>２～４年</t>
    <rPh sb="3" eb="4">
      <t>ネン</t>
    </rPh>
    <phoneticPr fontId="2"/>
  </si>
  <si>
    <t>５～９年</t>
    <rPh sb="3" eb="4">
      <t>ネン</t>
    </rPh>
    <phoneticPr fontId="2"/>
  </si>
  <si>
    <t>給与が良い</t>
    <rPh sb="0" eb="2">
      <t>キュウヨ</t>
    </rPh>
    <rPh sb="3" eb="4">
      <t>ヨ</t>
    </rPh>
    <phoneticPr fontId="2"/>
  </si>
  <si>
    <t>-</t>
    <phoneticPr fontId="2"/>
  </si>
  <si>
    <t>なし</t>
  </si>
  <si>
    <t>Ｈ２７</t>
    <phoneticPr fontId="2"/>
  </si>
  <si>
    <t>Ｈ２７</t>
    <phoneticPr fontId="2"/>
  </si>
  <si>
    <t>地　方</t>
    <rPh sb="0" eb="1">
      <t>チ</t>
    </rPh>
    <rPh sb="2" eb="3">
      <t>カタ</t>
    </rPh>
    <phoneticPr fontId="5"/>
  </si>
  <si>
    <t>都市部</t>
    <rPh sb="0" eb="3">
      <t>トシブ</t>
    </rPh>
    <phoneticPr fontId="5"/>
  </si>
  <si>
    <t>センター</t>
  </si>
  <si>
    <t>対象者数</t>
    <rPh sb="0" eb="3">
      <t>タイショウシャ</t>
    </rPh>
    <rPh sb="3" eb="4">
      <t>スウ</t>
    </rPh>
    <phoneticPr fontId="5"/>
  </si>
  <si>
    <t>回答数</t>
    <rPh sb="0" eb="3">
      <t>カイトウスウ</t>
    </rPh>
    <phoneticPr fontId="5"/>
  </si>
  <si>
    <t>回収率</t>
    <rPh sb="0" eb="3">
      <t>カイシュウリツ</t>
    </rPh>
    <phoneticPr fontId="5"/>
  </si>
  <si>
    <t>男性</t>
    <rPh sb="0" eb="2">
      <t>ダンセイ</t>
    </rPh>
    <phoneticPr fontId="5"/>
  </si>
  <si>
    <t>女性</t>
    <rPh sb="0" eb="2">
      <t>ジョセイ</t>
    </rPh>
    <phoneticPr fontId="5"/>
  </si>
  <si>
    <t>無回答</t>
    <rPh sb="0" eb="3">
      <t>ムカイトウ</t>
    </rPh>
    <phoneticPr fontId="5"/>
  </si>
  <si>
    <t>計</t>
    <rPh sb="0" eb="1">
      <t>ケイ</t>
    </rPh>
    <phoneticPr fontId="5"/>
  </si>
  <si>
    <t>２　０　代</t>
    <rPh sb="4" eb="5">
      <t>ダイ</t>
    </rPh>
    <phoneticPr fontId="5"/>
  </si>
  <si>
    <t>３　０　代</t>
    <rPh sb="4" eb="5">
      <t>ダイ</t>
    </rPh>
    <phoneticPr fontId="5"/>
  </si>
  <si>
    <t>４　０　代</t>
    <rPh sb="4" eb="5">
      <t>ダイ</t>
    </rPh>
    <phoneticPr fontId="5"/>
  </si>
  <si>
    <t>５　０　代</t>
    <rPh sb="4" eb="5">
      <t>ダイ</t>
    </rPh>
    <phoneticPr fontId="5"/>
  </si>
  <si>
    <t>６０代以上</t>
    <rPh sb="2" eb="3">
      <t>ダイ</t>
    </rPh>
    <rPh sb="3" eb="5">
      <t>イジョウ</t>
    </rPh>
    <phoneticPr fontId="5"/>
  </si>
  <si>
    <t>無　回　答</t>
    <rPh sb="0" eb="1">
      <t>ム</t>
    </rPh>
    <rPh sb="2" eb="3">
      <t>カイ</t>
    </rPh>
    <rPh sb="4" eb="5">
      <t>コタエ</t>
    </rPh>
    <phoneticPr fontId="5"/>
  </si>
  <si>
    <t>あ　り</t>
  </si>
  <si>
    <t>同　居</t>
    <rPh sb="0" eb="1">
      <t>ドウ</t>
    </rPh>
    <rPh sb="2" eb="3">
      <t>キョ</t>
    </rPh>
    <phoneticPr fontId="5"/>
  </si>
  <si>
    <t>別　居</t>
    <rPh sb="0" eb="1">
      <t>ベツ</t>
    </rPh>
    <rPh sb="2" eb="3">
      <t>キョ</t>
    </rPh>
    <phoneticPr fontId="5"/>
  </si>
  <si>
    <t>同居・別居</t>
    <rPh sb="0" eb="2">
      <t>ドウキョ</t>
    </rPh>
    <rPh sb="3" eb="5">
      <t>ベッキョ</t>
    </rPh>
    <phoneticPr fontId="5"/>
  </si>
  <si>
    <t>な　し</t>
  </si>
  <si>
    <t>北海道</t>
    <rPh sb="0" eb="3">
      <t>ホッカイドウ</t>
    </rPh>
    <phoneticPr fontId="5"/>
  </si>
  <si>
    <t>東北地方</t>
    <rPh sb="0" eb="2">
      <t>トウホク</t>
    </rPh>
    <rPh sb="2" eb="4">
      <t>チホウ</t>
    </rPh>
    <phoneticPr fontId="5"/>
  </si>
  <si>
    <t>関東地方</t>
    <rPh sb="0" eb="2">
      <t>カントウ</t>
    </rPh>
    <rPh sb="2" eb="4">
      <t>チホウ</t>
    </rPh>
    <phoneticPr fontId="5"/>
  </si>
  <si>
    <t>中部地方</t>
    <rPh sb="0" eb="2">
      <t>チュウブ</t>
    </rPh>
    <rPh sb="2" eb="4">
      <t>チホウ</t>
    </rPh>
    <phoneticPr fontId="5"/>
  </si>
  <si>
    <t>近畿地方</t>
    <rPh sb="0" eb="2">
      <t>キンキ</t>
    </rPh>
    <rPh sb="2" eb="4">
      <t>チホウ</t>
    </rPh>
    <phoneticPr fontId="5"/>
  </si>
  <si>
    <t>中国地方</t>
    <rPh sb="0" eb="2">
      <t>チュウゴク</t>
    </rPh>
    <rPh sb="2" eb="4">
      <t>チホウ</t>
    </rPh>
    <phoneticPr fontId="5"/>
  </si>
  <si>
    <t>四国地方</t>
    <rPh sb="0" eb="2">
      <t>シコク</t>
    </rPh>
    <rPh sb="2" eb="4">
      <t>チホウ</t>
    </rPh>
    <phoneticPr fontId="5"/>
  </si>
  <si>
    <t>九州・沖縄地方</t>
    <rPh sb="0" eb="2">
      <t>キュウシュウ</t>
    </rPh>
    <rPh sb="3" eb="5">
      <t>オキナワ</t>
    </rPh>
    <rPh sb="5" eb="7">
      <t>チホウ</t>
    </rPh>
    <phoneticPr fontId="5"/>
  </si>
  <si>
    <t>国外</t>
    <rPh sb="0" eb="2">
      <t>コクガイ</t>
    </rPh>
    <phoneticPr fontId="5"/>
  </si>
  <si>
    <t>北海道</t>
    <rPh sb="0" eb="1">
      <t>キタ</t>
    </rPh>
    <rPh sb="1" eb="2">
      <t>ウミ</t>
    </rPh>
    <rPh sb="2" eb="3">
      <t>ミチ</t>
    </rPh>
    <phoneticPr fontId="5"/>
  </si>
  <si>
    <t>国　外</t>
    <rPh sb="0" eb="1">
      <t>クニ</t>
    </rPh>
    <rPh sb="2" eb="3">
      <t>ソト</t>
    </rPh>
    <phoneticPr fontId="5"/>
  </si>
  <si>
    <t>道南</t>
    <rPh sb="0" eb="2">
      <t>ドウナン</t>
    </rPh>
    <phoneticPr fontId="5"/>
  </si>
  <si>
    <t>道央</t>
    <rPh sb="0" eb="2">
      <t>ドウオウ</t>
    </rPh>
    <phoneticPr fontId="5"/>
  </si>
  <si>
    <t>道北</t>
    <rPh sb="0" eb="2">
      <t>ドウホク</t>
    </rPh>
    <phoneticPr fontId="5"/>
  </si>
  <si>
    <t>オホーツク</t>
  </si>
  <si>
    <t>十勝</t>
    <rPh sb="0" eb="2">
      <t>トカチ</t>
    </rPh>
    <phoneticPr fontId="5"/>
  </si>
  <si>
    <t>釧路・根室</t>
    <rPh sb="0" eb="2">
      <t>クシロ</t>
    </rPh>
    <rPh sb="3" eb="5">
      <t>ネムロ</t>
    </rPh>
    <phoneticPr fontId="5"/>
  </si>
  <si>
    <t>１～２年目</t>
    <rPh sb="3" eb="5">
      <t>ネンメ</t>
    </rPh>
    <phoneticPr fontId="5"/>
  </si>
  <si>
    <t>３～４年目</t>
    <rPh sb="3" eb="5">
      <t>ネンメ</t>
    </rPh>
    <phoneticPr fontId="5"/>
  </si>
  <si>
    <t>５～９年目</t>
    <rPh sb="3" eb="5">
      <t>ネンメ</t>
    </rPh>
    <phoneticPr fontId="5"/>
  </si>
  <si>
    <t>10年以上</t>
    <rPh sb="2" eb="5">
      <t>ネンイジョウ</t>
    </rPh>
    <phoneticPr fontId="5"/>
  </si>
  <si>
    <t>はい</t>
  </si>
  <si>
    <t>いいえ</t>
  </si>
  <si>
    <t>自分と交代できる医師がいる</t>
    <rPh sb="0" eb="2">
      <t>ジブン</t>
    </rPh>
    <rPh sb="3" eb="5">
      <t>コウタイ</t>
    </rPh>
    <rPh sb="8" eb="10">
      <t>イシ</t>
    </rPh>
    <phoneticPr fontId="5"/>
  </si>
  <si>
    <t>家族の同意がある</t>
    <rPh sb="0" eb="2">
      <t>カゾク</t>
    </rPh>
    <rPh sb="3" eb="5">
      <t>ドウイ</t>
    </rPh>
    <phoneticPr fontId="5"/>
  </si>
  <si>
    <t>病院の施設・設備が整っている</t>
    <rPh sb="0" eb="2">
      <t>ビョウイン</t>
    </rPh>
    <rPh sb="3" eb="5">
      <t>シセツ</t>
    </rPh>
    <rPh sb="6" eb="8">
      <t>セツビ</t>
    </rPh>
    <rPh sb="9" eb="10">
      <t>トトノ</t>
    </rPh>
    <phoneticPr fontId="5"/>
  </si>
  <si>
    <t>専門医取得後である</t>
    <rPh sb="0" eb="3">
      <t>センモンイ</t>
    </rPh>
    <rPh sb="3" eb="6">
      <t>シュトクゴ</t>
    </rPh>
    <phoneticPr fontId="5"/>
  </si>
  <si>
    <t>地域の中核病院である</t>
    <rPh sb="0" eb="2">
      <t>チイキ</t>
    </rPh>
    <rPh sb="3" eb="5">
      <t>チュウカク</t>
    </rPh>
    <rPh sb="5" eb="7">
      <t>ビョウイン</t>
    </rPh>
    <phoneticPr fontId="5"/>
  </si>
  <si>
    <t>Ｈ２９</t>
    <phoneticPr fontId="2"/>
  </si>
  <si>
    <t>１　業務量全般について</t>
    <rPh sb="2" eb="5">
      <t>ギョウムリョウ</t>
    </rPh>
    <rPh sb="5" eb="7">
      <t>ゼンパン</t>
    </rPh>
    <phoneticPr fontId="2"/>
  </si>
  <si>
    <t>元の勤務地／希望する勤務地に行ける保証がないため</t>
    <rPh sb="0" eb="1">
      <t>モト</t>
    </rPh>
    <rPh sb="2" eb="5">
      <t>キンムチ</t>
    </rPh>
    <rPh sb="6" eb="8">
      <t>キボウ</t>
    </rPh>
    <rPh sb="10" eb="13">
      <t>キンムチ</t>
    </rPh>
    <rPh sb="14" eb="15">
      <t>イ</t>
    </rPh>
    <rPh sb="17" eb="19">
      <t>ホショウ</t>
    </rPh>
    <phoneticPr fontId="2"/>
  </si>
  <si>
    <t>子どもの教育環境が整っていないため</t>
    <rPh sb="0" eb="1">
      <t>コ</t>
    </rPh>
    <rPh sb="4" eb="6">
      <t>キョウイク</t>
    </rPh>
    <rPh sb="6" eb="8">
      <t>カンキョウ</t>
    </rPh>
    <rPh sb="9" eb="10">
      <t>トトノ</t>
    </rPh>
    <phoneticPr fontId="2"/>
  </si>
  <si>
    <t>診療に対する裁量が大きい（任される部分が多い）</t>
    <rPh sb="0" eb="2">
      <t>シンリョウ</t>
    </rPh>
    <rPh sb="3" eb="4">
      <t>タイ</t>
    </rPh>
    <rPh sb="6" eb="8">
      <t>サイリョウ</t>
    </rPh>
    <rPh sb="9" eb="10">
      <t>オオ</t>
    </rPh>
    <rPh sb="13" eb="14">
      <t>マカ</t>
    </rPh>
    <rPh sb="17" eb="19">
      <t>ブブン</t>
    </rPh>
    <rPh sb="20" eb="21">
      <t>オオ</t>
    </rPh>
    <phoneticPr fontId="2"/>
  </si>
  <si>
    <t>地域（住民）からの支援や理解がある</t>
    <rPh sb="0" eb="2">
      <t>チイキ</t>
    </rPh>
    <rPh sb="3" eb="5">
      <t>ジュウミン</t>
    </rPh>
    <rPh sb="9" eb="11">
      <t>シエン</t>
    </rPh>
    <rPh sb="12" eb="14">
      <t>リカイ</t>
    </rPh>
    <phoneticPr fontId="2"/>
  </si>
  <si>
    <t>①　年齢区分</t>
    <rPh sb="2" eb="4">
      <t>ネンレイ</t>
    </rPh>
    <rPh sb="4" eb="6">
      <t>クブン</t>
    </rPh>
    <phoneticPr fontId="5"/>
  </si>
  <si>
    <t>■　回答者自身の状況について</t>
    <rPh sb="2" eb="5">
      <t>カイトウシャ</t>
    </rPh>
    <rPh sb="5" eb="7">
      <t>ジシン</t>
    </rPh>
    <rPh sb="8" eb="10">
      <t>ジョウキョウ</t>
    </rPh>
    <phoneticPr fontId="2"/>
  </si>
  <si>
    <t>②　性別</t>
    <rPh sb="2" eb="4">
      <t>セイベツ</t>
    </rPh>
    <phoneticPr fontId="5"/>
  </si>
  <si>
    <t>③　配偶者</t>
    <rPh sb="2" eb="5">
      <t>ハイグウシャ</t>
    </rPh>
    <phoneticPr fontId="5"/>
  </si>
  <si>
    <t>④　子ども</t>
    <rPh sb="2" eb="3">
      <t>コ</t>
    </rPh>
    <phoneticPr fontId="5"/>
  </si>
  <si>
    <t>⑤　出身地</t>
    <rPh sb="2" eb="5">
      <t>シュッシンチ</t>
    </rPh>
    <phoneticPr fontId="5"/>
  </si>
  <si>
    <t>⑥　卒業医学部</t>
    <rPh sb="2" eb="4">
      <t>ソツギョウ</t>
    </rPh>
    <rPh sb="4" eb="7">
      <t>イガクブ</t>
    </rPh>
    <phoneticPr fontId="5"/>
  </si>
  <si>
    <t>⑦　勤務病院所在地</t>
    <rPh sb="2" eb="4">
      <t>キンム</t>
    </rPh>
    <rPh sb="4" eb="6">
      <t>ビョウイン</t>
    </rPh>
    <rPh sb="6" eb="9">
      <t>ショザイチ</t>
    </rPh>
    <phoneticPr fontId="5"/>
  </si>
  <si>
    <t>⑨　勤務年数</t>
    <rPh sb="2" eb="4">
      <t>キンム</t>
    </rPh>
    <rPh sb="4" eb="6">
      <t>ネンスウ</t>
    </rPh>
    <phoneticPr fontId="5"/>
  </si>
  <si>
    <t>⑧　勤務形態</t>
    <rPh sb="2" eb="4">
      <t>キンム</t>
    </rPh>
    <rPh sb="4" eb="6">
      <t>ケイタイ</t>
    </rPh>
    <phoneticPr fontId="5"/>
  </si>
  <si>
    <t>病院の管理者等（管理職）</t>
    <rPh sb="0" eb="2">
      <t>ビョウイン</t>
    </rPh>
    <rPh sb="3" eb="6">
      <t>カンリシャ</t>
    </rPh>
    <rPh sb="6" eb="7">
      <t>トウ</t>
    </rPh>
    <rPh sb="8" eb="11">
      <t>カンリショク</t>
    </rPh>
    <phoneticPr fontId="5"/>
  </si>
  <si>
    <t>⑩　年収</t>
    <rPh sb="2" eb="4">
      <t>ネンシュウ</t>
    </rPh>
    <phoneticPr fontId="5"/>
  </si>
  <si>
    <t>500万円未満</t>
    <rPh sb="3" eb="5">
      <t>マンエン</t>
    </rPh>
    <rPh sb="5" eb="7">
      <t>ミマン</t>
    </rPh>
    <phoneticPr fontId="5"/>
  </si>
  <si>
    <t>500～999万円</t>
    <rPh sb="7" eb="9">
      <t>マンエン</t>
    </rPh>
    <phoneticPr fontId="2"/>
  </si>
  <si>
    <t>1,000～1,499万円</t>
    <rPh sb="11" eb="13">
      <t>マンエン</t>
    </rPh>
    <phoneticPr fontId="2"/>
  </si>
  <si>
    <t>1,500～1,999万円</t>
    <rPh sb="11" eb="13">
      <t>マンエン</t>
    </rPh>
    <phoneticPr fontId="2"/>
  </si>
  <si>
    <t>2,000万円以上</t>
    <rPh sb="5" eb="7">
      <t>マンエン</t>
    </rPh>
    <rPh sb="7" eb="9">
      <t>イジョウ</t>
    </rPh>
    <phoneticPr fontId="5"/>
  </si>
  <si>
    <t>無回答</t>
    <rPh sb="0" eb="3">
      <t>ムカイトウ</t>
    </rPh>
    <phoneticPr fontId="2"/>
  </si>
  <si>
    <t>問１　現在の病院に勤務することとなった経緯</t>
    <rPh sb="0" eb="1">
      <t>ト</t>
    </rPh>
    <rPh sb="3" eb="5">
      <t>ゲンザイ</t>
    </rPh>
    <rPh sb="6" eb="8">
      <t>ビョウイン</t>
    </rPh>
    <rPh sb="9" eb="11">
      <t>キンム</t>
    </rPh>
    <rPh sb="19" eb="21">
      <t>ケイイ</t>
    </rPh>
    <phoneticPr fontId="5"/>
  </si>
  <si>
    <t>大学からの派遣</t>
    <rPh sb="0" eb="2">
      <t>ダイガク</t>
    </rPh>
    <rPh sb="5" eb="7">
      <t>ハケン</t>
    </rPh>
    <phoneticPr fontId="5"/>
  </si>
  <si>
    <t>自分から応募</t>
    <rPh sb="0" eb="2">
      <t>ジブン</t>
    </rPh>
    <rPh sb="4" eb="6">
      <t>オウボ</t>
    </rPh>
    <phoneticPr fontId="5"/>
  </si>
  <si>
    <t>大学からの紹介</t>
    <rPh sb="0" eb="2">
      <t>ダイガク</t>
    </rPh>
    <rPh sb="5" eb="7">
      <t>ショウカイ</t>
    </rPh>
    <phoneticPr fontId="5"/>
  </si>
  <si>
    <t>その他</t>
    <rPh sb="2" eb="3">
      <t>タ</t>
    </rPh>
    <phoneticPr fontId="5"/>
  </si>
  <si>
    <t>医師の就業斡旋を行う
団体・業者等の紹介</t>
    <rPh sb="0" eb="2">
      <t>イシ</t>
    </rPh>
    <rPh sb="3" eb="5">
      <t>シュウギョウ</t>
    </rPh>
    <rPh sb="5" eb="7">
      <t>アッセン</t>
    </rPh>
    <rPh sb="8" eb="9">
      <t>オコナ</t>
    </rPh>
    <rPh sb="11" eb="13">
      <t>ダンタイ</t>
    </rPh>
    <rPh sb="14" eb="16">
      <t>ギョウシャ</t>
    </rPh>
    <rPh sb="16" eb="17">
      <t>トウ</t>
    </rPh>
    <rPh sb="18" eb="20">
      <t>ショウカイ</t>
    </rPh>
    <phoneticPr fontId="5"/>
  </si>
  <si>
    <t>問３　平均的な週実労働時間</t>
    <rPh sb="0" eb="1">
      <t>ト</t>
    </rPh>
    <phoneticPr fontId="5"/>
  </si>
  <si>
    <t>緊急対応</t>
    <rPh sb="0" eb="2">
      <t>キンキュウ</t>
    </rPh>
    <rPh sb="2" eb="4">
      <t>タイオウ</t>
    </rPh>
    <phoneticPr fontId="5"/>
  </si>
  <si>
    <t>土日祝日の当番（回診）</t>
    <rPh sb="0" eb="2">
      <t>ドニチ</t>
    </rPh>
    <rPh sb="2" eb="4">
      <t>シュクジツ</t>
    </rPh>
    <rPh sb="5" eb="7">
      <t>トウバン</t>
    </rPh>
    <rPh sb="8" eb="10">
      <t>カイシン</t>
    </rPh>
    <phoneticPr fontId="5"/>
  </si>
  <si>
    <t>手術や外来対応等の延長</t>
    <rPh sb="0" eb="2">
      <t>シュジュツ</t>
    </rPh>
    <rPh sb="3" eb="5">
      <t>ガイライ</t>
    </rPh>
    <rPh sb="5" eb="7">
      <t>タイオウ</t>
    </rPh>
    <rPh sb="7" eb="8">
      <t>トウ</t>
    </rPh>
    <rPh sb="9" eb="11">
      <t>エンチョウ</t>
    </rPh>
    <phoneticPr fontId="5"/>
  </si>
  <si>
    <t>記録・報告書作成や
書類の整理</t>
    <rPh sb="0" eb="2">
      <t>キロク</t>
    </rPh>
    <rPh sb="3" eb="6">
      <t>ホウコクショ</t>
    </rPh>
    <rPh sb="6" eb="8">
      <t>サクセイ</t>
    </rPh>
    <rPh sb="10" eb="12">
      <t>ショルイ</t>
    </rPh>
    <rPh sb="13" eb="15">
      <t>セイリ</t>
    </rPh>
    <phoneticPr fontId="5"/>
  </si>
  <si>
    <t>他職種・他機関との
連絡調整</t>
    <rPh sb="0" eb="3">
      <t>タショクシュ</t>
    </rPh>
    <rPh sb="4" eb="7">
      <t>タキカン</t>
    </rPh>
    <rPh sb="10" eb="12">
      <t>レンラク</t>
    </rPh>
    <rPh sb="12" eb="14">
      <t>チョウセイ</t>
    </rPh>
    <phoneticPr fontId="5"/>
  </si>
  <si>
    <t>勤務開始前の準備</t>
    <rPh sb="0" eb="2">
      <t>キンム</t>
    </rPh>
    <rPh sb="2" eb="5">
      <t>カイシマエ</t>
    </rPh>
    <rPh sb="6" eb="8">
      <t>ジュンビ</t>
    </rPh>
    <phoneticPr fontId="5"/>
  </si>
  <si>
    <t>問４　時間外労働の主な理由　（複数回答）</t>
    <rPh sb="0" eb="1">
      <t>ト</t>
    </rPh>
    <rPh sb="3" eb="6">
      <t>ジカンガイ</t>
    </rPh>
    <rPh sb="6" eb="8">
      <t>ロウドウ</t>
    </rPh>
    <rPh sb="9" eb="10">
      <t>オモ</t>
    </rPh>
    <rPh sb="11" eb="13">
      <t>リユウ</t>
    </rPh>
    <rPh sb="15" eb="17">
      <t>フクスウ</t>
    </rPh>
    <rPh sb="17" eb="19">
      <t>カイトウ</t>
    </rPh>
    <phoneticPr fontId="5"/>
  </si>
  <si>
    <t>問６　宿直明けの勤務形態</t>
    <rPh sb="0" eb="1">
      <t>ト</t>
    </rPh>
    <rPh sb="3" eb="5">
      <t>シュクチョク</t>
    </rPh>
    <rPh sb="5" eb="6">
      <t>ア</t>
    </rPh>
    <rPh sb="8" eb="10">
      <t>キンム</t>
    </rPh>
    <rPh sb="10" eb="12">
      <t>ケイタイ</t>
    </rPh>
    <phoneticPr fontId="5"/>
  </si>
  <si>
    <t>通常業務で、業務内容の軽減はない</t>
    <rPh sb="0" eb="2">
      <t>ツウジョウ</t>
    </rPh>
    <rPh sb="2" eb="4">
      <t>ギョウム</t>
    </rPh>
    <rPh sb="6" eb="8">
      <t>ギョウム</t>
    </rPh>
    <rPh sb="8" eb="10">
      <t>ナイヨウ</t>
    </rPh>
    <rPh sb="11" eb="13">
      <t>ケイゲン</t>
    </rPh>
    <phoneticPr fontId="5"/>
  </si>
  <si>
    <t>通常業務であるが、業務内容は軽減される</t>
    <rPh sb="0" eb="2">
      <t>ツウジョウ</t>
    </rPh>
    <rPh sb="2" eb="4">
      <t>ギョウム</t>
    </rPh>
    <rPh sb="9" eb="11">
      <t>ギョウム</t>
    </rPh>
    <rPh sb="11" eb="13">
      <t>ナイヨウ</t>
    </rPh>
    <rPh sb="14" eb="16">
      <t>ケイゲン</t>
    </rPh>
    <phoneticPr fontId="5"/>
  </si>
  <si>
    <t>短時間勤務で、業務内容の軽減はない</t>
    <rPh sb="0" eb="3">
      <t>タンジカン</t>
    </rPh>
    <rPh sb="3" eb="5">
      <t>キンム</t>
    </rPh>
    <rPh sb="7" eb="9">
      <t>ギョウム</t>
    </rPh>
    <rPh sb="9" eb="11">
      <t>ナイヨウ</t>
    </rPh>
    <rPh sb="12" eb="14">
      <t>ケイゲン</t>
    </rPh>
    <phoneticPr fontId="5"/>
  </si>
  <si>
    <t>短時間勤務で、業務内容も軽減される</t>
    <rPh sb="0" eb="3">
      <t>タンジカン</t>
    </rPh>
    <rPh sb="3" eb="5">
      <t>キンム</t>
    </rPh>
    <rPh sb="7" eb="9">
      <t>ギョウム</t>
    </rPh>
    <rPh sb="9" eb="11">
      <t>ナイヨウ</t>
    </rPh>
    <rPh sb="12" eb="14">
      <t>ケイゲン</t>
    </rPh>
    <phoneticPr fontId="5"/>
  </si>
  <si>
    <t>日によって異なる</t>
    <rPh sb="0" eb="1">
      <t>ヒ</t>
    </rPh>
    <rPh sb="5" eb="6">
      <t>コト</t>
    </rPh>
    <phoneticPr fontId="5"/>
  </si>
  <si>
    <t>わからない</t>
    <phoneticPr fontId="5"/>
  </si>
  <si>
    <t>問８　現在の勤務環境にどれぐらい満足しているか</t>
    <rPh sb="0" eb="1">
      <t>ト</t>
    </rPh>
    <rPh sb="3" eb="5">
      <t>ゲンザイ</t>
    </rPh>
    <rPh sb="6" eb="8">
      <t>キンム</t>
    </rPh>
    <rPh sb="8" eb="10">
      <t>カンキョウ</t>
    </rPh>
    <rPh sb="16" eb="18">
      <t>マンゾク</t>
    </rPh>
    <phoneticPr fontId="5"/>
  </si>
  <si>
    <t>満足</t>
    <rPh sb="0" eb="2">
      <t>マンゾク</t>
    </rPh>
    <phoneticPr fontId="5"/>
  </si>
  <si>
    <t>どちらかと
いうと満足</t>
    <rPh sb="9" eb="11">
      <t>マンゾク</t>
    </rPh>
    <phoneticPr fontId="5"/>
  </si>
  <si>
    <t>どちらかと
いうと不満</t>
    <rPh sb="9" eb="11">
      <t>フマン</t>
    </rPh>
    <phoneticPr fontId="5"/>
  </si>
  <si>
    <t>不満</t>
    <rPh sb="0" eb="2">
      <t>フマン</t>
    </rPh>
    <phoneticPr fontId="5"/>
  </si>
  <si>
    <t>問10　問８の回答に最も影響を与えた項目</t>
    <rPh sb="0" eb="1">
      <t>ト</t>
    </rPh>
    <rPh sb="4" eb="5">
      <t>ト</t>
    </rPh>
    <rPh sb="7" eb="9">
      <t>カイトウ</t>
    </rPh>
    <rPh sb="10" eb="11">
      <t>モット</t>
    </rPh>
    <rPh sb="12" eb="14">
      <t>エイキョウ</t>
    </rPh>
    <rPh sb="15" eb="16">
      <t>アタ</t>
    </rPh>
    <rPh sb="18" eb="20">
      <t>コウモク</t>
    </rPh>
    <phoneticPr fontId="5"/>
  </si>
  <si>
    <t>業務量全般</t>
    <rPh sb="0" eb="3">
      <t>ギョウムリョウ</t>
    </rPh>
    <rPh sb="3" eb="5">
      <t>ゼンパン</t>
    </rPh>
    <phoneticPr fontId="5"/>
  </si>
  <si>
    <t>職場の雰囲気
（人間関係）</t>
    <rPh sb="0" eb="2">
      <t>ショクバ</t>
    </rPh>
    <rPh sb="3" eb="6">
      <t>フンイキ</t>
    </rPh>
    <rPh sb="8" eb="10">
      <t>ニンゲン</t>
    </rPh>
    <rPh sb="10" eb="12">
      <t>カンケイ</t>
    </rPh>
    <phoneticPr fontId="5"/>
  </si>
  <si>
    <t>半年</t>
    <rPh sb="0" eb="2">
      <t>ハントシ</t>
    </rPh>
    <phoneticPr fontId="5"/>
  </si>
  <si>
    <t>１０年以上</t>
    <rPh sb="2" eb="3">
      <t>ネン</t>
    </rPh>
    <rPh sb="3" eb="5">
      <t>イジョウ</t>
    </rPh>
    <phoneticPr fontId="5"/>
  </si>
  <si>
    <t>特になし</t>
    <rPh sb="0" eb="1">
      <t>トク</t>
    </rPh>
    <phoneticPr fontId="5"/>
  </si>
  <si>
    <t>現在の生活圏から交通の便が良く距離が近い</t>
    <rPh sb="0" eb="2">
      <t>ゲンザイ</t>
    </rPh>
    <rPh sb="3" eb="6">
      <t>セイカツケン</t>
    </rPh>
    <rPh sb="8" eb="10">
      <t>コウツウ</t>
    </rPh>
    <rPh sb="11" eb="12">
      <t>ベン</t>
    </rPh>
    <rPh sb="13" eb="14">
      <t>ヨ</t>
    </rPh>
    <rPh sb="15" eb="17">
      <t>キョリ</t>
    </rPh>
    <rPh sb="18" eb="19">
      <t>チカ</t>
    </rPh>
    <phoneticPr fontId="5"/>
  </si>
  <si>
    <t>子どもの教育環境が整備されている</t>
    <rPh sb="0" eb="1">
      <t>コ</t>
    </rPh>
    <rPh sb="4" eb="6">
      <t>キョウイク</t>
    </rPh>
    <rPh sb="6" eb="8">
      <t>カンキョウ</t>
    </rPh>
    <rPh sb="9" eb="11">
      <t>セイビ</t>
    </rPh>
    <phoneticPr fontId="2"/>
  </si>
  <si>
    <t>出身地である</t>
    <rPh sb="0" eb="3">
      <t>シュッシンチ</t>
    </rPh>
    <phoneticPr fontId="5"/>
  </si>
  <si>
    <t>商業・娯楽施設が充実している</t>
    <phoneticPr fontId="5"/>
  </si>
  <si>
    <t>配偶者の居住地・勤務地である</t>
    <phoneticPr fontId="2"/>
  </si>
  <si>
    <t>単身赴任者への配慮が充実している（休日・帰省費用等）</t>
    <rPh sb="0" eb="2">
      <t>タンシン</t>
    </rPh>
    <rPh sb="2" eb="5">
      <t>フニンシャ</t>
    </rPh>
    <rPh sb="7" eb="9">
      <t>ハイリョ</t>
    </rPh>
    <rPh sb="10" eb="12">
      <t>ジュウジツ</t>
    </rPh>
    <rPh sb="17" eb="19">
      <t>キュウジツ</t>
    </rPh>
    <rPh sb="20" eb="22">
      <t>キセイ</t>
    </rPh>
    <rPh sb="22" eb="24">
      <t>ヒヨウ</t>
    </rPh>
    <rPh sb="24" eb="25">
      <t>トウ</t>
    </rPh>
    <phoneticPr fontId="5"/>
  </si>
  <si>
    <t>他病院とのネットワーク・連携がある</t>
    <rPh sb="0" eb="3">
      <t>タビョウイン</t>
    </rPh>
    <rPh sb="12" eb="14">
      <t>レンケイ</t>
    </rPh>
    <phoneticPr fontId="2"/>
  </si>
  <si>
    <t>入院のない小規模の診療所である</t>
    <rPh sb="0" eb="2">
      <t>ニュウイン</t>
    </rPh>
    <rPh sb="5" eb="8">
      <t>ショウキボ</t>
    </rPh>
    <rPh sb="9" eb="12">
      <t>シンリョウジョ</t>
    </rPh>
    <phoneticPr fontId="2"/>
  </si>
  <si>
    <t>給与や手当が良い</t>
    <rPh sb="0" eb="2">
      <t>キュウヨ</t>
    </rPh>
    <rPh sb="3" eb="5">
      <t>テアテ</t>
    </rPh>
    <rPh sb="6" eb="7">
      <t>ヨ</t>
    </rPh>
    <phoneticPr fontId="5"/>
  </si>
  <si>
    <t>医師の勤務環境改善に取り組まれている</t>
    <rPh sb="0" eb="2">
      <t>イシ</t>
    </rPh>
    <rPh sb="3" eb="5">
      <t>キンム</t>
    </rPh>
    <rPh sb="5" eb="7">
      <t>カンキョウ</t>
    </rPh>
    <rPh sb="7" eb="9">
      <t>カイゼン</t>
    </rPh>
    <rPh sb="10" eb="11">
      <t>ト</t>
    </rPh>
    <rPh sb="12" eb="13">
      <t>ク</t>
    </rPh>
    <phoneticPr fontId="5"/>
  </si>
  <si>
    <t>医師の勤務環境に対して地域の理解がある</t>
    <rPh sb="0" eb="2">
      <t>イシ</t>
    </rPh>
    <rPh sb="3" eb="5">
      <t>キンム</t>
    </rPh>
    <rPh sb="5" eb="7">
      <t>カンキョウ</t>
    </rPh>
    <rPh sb="8" eb="9">
      <t>タイ</t>
    </rPh>
    <rPh sb="11" eb="13">
      <t>チイキ</t>
    </rPh>
    <rPh sb="14" eb="16">
      <t>リカイ</t>
    </rPh>
    <phoneticPr fontId="2"/>
  </si>
  <si>
    <t>居住環境が整備されている</t>
    <rPh sb="0" eb="2">
      <t>キョジュウ</t>
    </rPh>
    <rPh sb="2" eb="4">
      <t>カンキョウ</t>
    </rPh>
    <rPh sb="5" eb="7">
      <t>セイビ</t>
    </rPh>
    <phoneticPr fontId="2"/>
  </si>
  <si>
    <t>定年退職後である</t>
    <rPh sb="0" eb="2">
      <t>テイネン</t>
    </rPh>
    <rPh sb="2" eb="5">
      <t>タイショクゴ</t>
    </rPh>
    <phoneticPr fontId="2"/>
  </si>
  <si>
    <t>一定の期間である</t>
    <rPh sb="0" eb="2">
      <t>イッテイ</t>
    </rPh>
    <rPh sb="3" eb="5">
      <t>キカン</t>
    </rPh>
    <phoneticPr fontId="5"/>
  </si>
  <si>
    <t>問15　これまでの勤務経験の中で「地域勤務を経験して良かった」と感じたこと</t>
    <rPh sb="0" eb="1">
      <t>ト</t>
    </rPh>
    <rPh sb="9" eb="11">
      <t>キンム</t>
    </rPh>
    <rPh sb="11" eb="13">
      <t>ケイケン</t>
    </rPh>
    <rPh sb="14" eb="15">
      <t>ナカ</t>
    </rPh>
    <rPh sb="17" eb="19">
      <t>チイキ</t>
    </rPh>
    <rPh sb="19" eb="21">
      <t>キンム</t>
    </rPh>
    <rPh sb="22" eb="24">
      <t>ケイケン</t>
    </rPh>
    <rPh sb="26" eb="27">
      <t>ヨ</t>
    </rPh>
    <rPh sb="32" eb="33">
      <t>カン</t>
    </rPh>
    <phoneticPr fontId="5"/>
  </si>
  <si>
    <t>幅広い症例を経験できた</t>
    <rPh sb="0" eb="2">
      <t>ハバヒロ</t>
    </rPh>
    <rPh sb="3" eb="5">
      <t>ショウレイ</t>
    </rPh>
    <rPh sb="6" eb="8">
      <t>ケイケン</t>
    </rPh>
    <phoneticPr fontId="5"/>
  </si>
  <si>
    <t>患者、住民から必要とされる充実感がある（患者との距離が近い）</t>
    <rPh sb="0" eb="2">
      <t>カンジャ</t>
    </rPh>
    <rPh sb="3" eb="5">
      <t>ジュウミン</t>
    </rPh>
    <rPh sb="7" eb="9">
      <t>ヒツヨウ</t>
    </rPh>
    <rPh sb="13" eb="16">
      <t>ジュウジツカン</t>
    </rPh>
    <rPh sb="20" eb="22">
      <t>カンジャ</t>
    </rPh>
    <rPh sb="24" eb="26">
      <t>キョリ</t>
    </rPh>
    <rPh sb="27" eb="28">
      <t>チカ</t>
    </rPh>
    <phoneticPr fontId="5"/>
  </si>
  <si>
    <t>環境が良い（地域、自然、子どもの成長等）</t>
    <rPh sb="0" eb="2">
      <t>カンキョウ</t>
    </rPh>
    <rPh sb="3" eb="4">
      <t>ヨ</t>
    </rPh>
    <rPh sb="6" eb="8">
      <t>チイキ</t>
    </rPh>
    <rPh sb="9" eb="11">
      <t>シゼン</t>
    </rPh>
    <rPh sb="12" eb="13">
      <t>コ</t>
    </rPh>
    <rPh sb="16" eb="18">
      <t>セイチョウ</t>
    </rPh>
    <rPh sb="18" eb="19">
      <t>トウ</t>
    </rPh>
    <phoneticPr fontId="2"/>
  </si>
  <si>
    <t>問９　現在の勤務環境について、各項目ごとの満足度</t>
    <rPh sb="0" eb="1">
      <t>ト</t>
    </rPh>
    <rPh sb="3" eb="5">
      <t>ゲンザイ</t>
    </rPh>
    <rPh sb="6" eb="8">
      <t>キンム</t>
    </rPh>
    <rPh sb="8" eb="10">
      <t>カンキョウ</t>
    </rPh>
    <rPh sb="15" eb="18">
      <t>カクコウモク</t>
    </rPh>
    <rPh sb="21" eb="24">
      <t>マンゾクド</t>
    </rPh>
    <phoneticPr fontId="5"/>
  </si>
  <si>
    <t>　１－①　平日の業務（時間外含む）</t>
    <rPh sb="5" eb="7">
      <t>ヘイジツ</t>
    </rPh>
    <rPh sb="8" eb="10">
      <t>ギョウム</t>
    </rPh>
    <rPh sb="11" eb="14">
      <t>ジカンガイ</t>
    </rPh>
    <rPh sb="14" eb="15">
      <t>フク</t>
    </rPh>
    <phoneticPr fontId="2"/>
  </si>
  <si>
    <t>　１－②　当直、夜勤、オンコール等</t>
    <rPh sb="5" eb="7">
      <t>トウチョク</t>
    </rPh>
    <rPh sb="8" eb="10">
      <t>ヤキン</t>
    </rPh>
    <rPh sb="16" eb="17">
      <t>トウ</t>
    </rPh>
    <phoneticPr fontId="2"/>
  </si>
  <si>
    <t>　１－③　休暇、休日等</t>
    <rPh sb="5" eb="7">
      <t>キュウカ</t>
    </rPh>
    <rPh sb="8" eb="10">
      <t>キュウジツ</t>
    </rPh>
    <rPh sb="10" eb="11">
      <t>トウ</t>
    </rPh>
    <phoneticPr fontId="2"/>
  </si>
  <si>
    <t>２　仕事のやりがい（仕事内容、症例数等）</t>
    <rPh sb="2" eb="4">
      <t>シゴト</t>
    </rPh>
    <rPh sb="10" eb="12">
      <t>シゴト</t>
    </rPh>
    <rPh sb="12" eb="14">
      <t>ナイヨウ</t>
    </rPh>
    <rPh sb="15" eb="18">
      <t>ショウレイスウ</t>
    </rPh>
    <rPh sb="18" eb="19">
      <t>トウ</t>
    </rPh>
    <phoneticPr fontId="2"/>
  </si>
  <si>
    <t>３　職場の雰囲気（人間関係等）</t>
    <rPh sb="2" eb="4">
      <t>ショクバ</t>
    </rPh>
    <rPh sb="5" eb="8">
      <t>フンイキ</t>
    </rPh>
    <rPh sb="9" eb="11">
      <t>ニンゲン</t>
    </rPh>
    <rPh sb="11" eb="13">
      <t>カンケイ</t>
    </rPh>
    <rPh sb="13" eb="14">
      <t>トウ</t>
    </rPh>
    <phoneticPr fontId="2"/>
  </si>
  <si>
    <t>４　給与等（給与・手当等）</t>
    <rPh sb="2" eb="4">
      <t>キュウヨ</t>
    </rPh>
    <rPh sb="4" eb="5">
      <t>トウ</t>
    </rPh>
    <rPh sb="6" eb="8">
      <t>キュウヨ</t>
    </rPh>
    <rPh sb="9" eb="11">
      <t>テアテ</t>
    </rPh>
    <rPh sb="11" eb="12">
      <t>トウ</t>
    </rPh>
    <phoneticPr fontId="2"/>
  </si>
  <si>
    <t>なし</t>
    <phoneticPr fontId="5"/>
  </si>
  <si>
    <t>１～４回</t>
    <rPh sb="3" eb="4">
      <t>カイ</t>
    </rPh>
    <phoneticPr fontId="5"/>
  </si>
  <si>
    <t>５～８回</t>
    <rPh sb="3" eb="4">
      <t>カイ</t>
    </rPh>
    <phoneticPr fontId="5"/>
  </si>
  <si>
    <t>９～12回</t>
    <rPh sb="4" eb="5">
      <t>カイ</t>
    </rPh>
    <phoneticPr fontId="5"/>
  </si>
  <si>
    <t>９回以上</t>
    <rPh sb="1" eb="2">
      <t>カイ</t>
    </rPh>
    <rPh sb="2" eb="4">
      <t>イジョウ</t>
    </rPh>
    <phoneticPr fontId="5"/>
  </si>
  <si>
    <t>問５　現在勤務している医療機関の１ヵ月の宿日直、オンコール回数</t>
    <rPh sb="0" eb="1">
      <t>ト</t>
    </rPh>
    <rPh sb="3" eb="5">
      <t>ゲンザイ</t>
    </rPh>
    <rPh sb="5" eb="7">
      <t>キンム</t>
    </rPh>
    <rPh sb="11" eb="13">
      <t>イリョウ</t>
    </rPh>
    <rPh sb="13" eb="15">
      <t>キカン</t>
    </rPh>
    <rPh sb="18" eb="19">
      <t>ゲツ</t>
    </rPh>
    <rPh sb="20" eb="21">
      <t>シュク</t>
    </rPh>
    <rPh sb="21" eb="23">
      <t>ニッチョク</t>
    </rPh>
    <rPh sb="29" eb="31">
      <t>カイスウ</t>
    </rPh>
    <phoneticPr fontId="5"/>
  </si>
  <si>
    <t>13～16回</t>
    <rPh sb="5" eb="6">
      <t>カイ</t>
    </rPh>
    <phoneticPr fontId="5"/>
  </si>
  <si>
    <t>17～20回</t>
    <rPh sb="5" eb="6">
      <t>カイ</t>
    </rPh>
    <phoneticPr fontId="5"/>
  </si>
  <si>
    <t>ほぼ毎日</t>
    <rPh sb="2" eb="4">
      <t>マイニチ</t>
    </rPh>
    <phoneticPr fontId="5"/>
  </si>
  <si>
    <t>問７　職場からの呼び出し等がない完全な休日は月に何日か</t>
    <rPh sb="0" eb="1">
      <t>ト</t>
    </rPh>
    <rPh sb="3" eb="5">
      <t>ショクバ</t>
    </rPh>
    <rPh sb="8" eb="9">
      <t>ヨ</t>
    </rPh>
    <rPh sb="10" eb="11">
      <t>ダ</t>
    </rPh>
    <rPh sb="12" eb="13">
      <t>トウ</t>
    </rPh>
    <rPh sb="16" eb="18">
      <t>カンゼン</t>
    </rPh>
    <rPh sb="19" eb="21">
      <t>キュウジツ</t>
    </rPh>
    <rPh sb="22" eb="23">
      <t>ツキ</t>
    </rPh>
    <rPh sb="24" eb="26">
      <t>ナンニチ</t>
    </rPh>
    <phoneticPr fontId="5"/>
  </si>
  <si>
    <t>１～３回</t>
    <rPh sb="3" eb="4">
      <t>カイ</t>
    </rPh>
    <phoneticPr fontId="5"/>
  </si>
  <si>
    <t>４～７回</t>
    <rPh sb="3" eb="4">
      <t>カイ</t>
    </rPh>
    <phoneticPr fontId="5"/>
  </si>
  <si>
    <t>11回以上</t>
    <rPh sb="2" eb="3">
      <t>カイ</t>
    </rPh>
    <rPh sb="3" eb="5">
      <t>イジョウ</t>
    </rPh>
    <phoneticPr fontId="5"/>
  </si>
  <si>
    <t>７～10回</t>
    <rPh sb="4" eb="5">
      <t>カイ</t>
    </rPh>
    <phoneticPr fontId="5"/>
  </si>
  <si>
    <t>①　家族に関すること</t>
    <rPh sb="2" eb="4">
      <t>カゾク</t>
    </rPh>
    <rPh sb="5" eb="6">
      <t>カン</t>
    </rPh>
    <phoneticPr fontId="2"/>
  </si>
  <si>
    <t>②　医療機関等に関すること</t>
    <rPh sb="2" eb="4">
      <t>イリョウ</t>
    </rPh>
    <rPh sb="4" eb="6">
      <t>キカン</t>
    </rPh>
    <rPh sb="6" eb="7">
      <t>トウ</t>
    </rPh>
    <rPh sb="8" eb="9">
      <t>カン</t>
    </rPh>
    <phoneticPr fontId="2"/>
  </si>
  <si>
    <t>③　勤務環境・条件等に関すること</t>
    <rPh sb="2" eb="4">
      <t>キンム</t>
    </rPh>
    <rPh sb="4" eb="6">
      <t>カンキョウ</t>
    </rPh>
    <rPh sb="7" eb="9">
      <t>ジョウケン</t>
    </rPh>
    <rPh sb="9" eb="10">
      <t>トウ</t>
    </rPh>
    <rPh sb="11" eb="12">
      <t>カン</t>
    </rPh>
    <phoneticPr fontId="2"/>
  </si>
  <si>
    <t>問11　札幌・旭川以外の地域で勤務する意志はありますか</t>
    <rPh sb="0" eb="1">
      <t>ト</t>
    </rPh>
    <rPh sb="4" eb="6">
      <t>サッポロ</t>
    </rPh>
    <rPh sb="7" eb="9">
      <t>アサヒカワ</t>
    </rPh>
    <rPh sb="9" eb="11">
      <t>イガイ</t>
    </rPh>
    <rPh sb="12" eb="14">
      <t>チイキ</t>
    </rPh>
    <rPh sb="15" eb="17">
      <t>キンム</t>
    </rPh>
    <rPh sb="19" eb="21">
      <t>イシ</t>
    </rPh>
    <phoneticPr fontId="5"/>
  </si>
  <si>
    <t>問13　「地域で勤務する意志はある」と回答された方は、何年勤務する意志がありますか</t>
    <rPh sb="0" eb="1">
      <t>ト</t>
    </rPh>
    <rPh sb="5" eb="7">
      <t>チイキ</t>
    </rPh>
    <rPh sb="8" eb="10">
      <t>キンム</t>
    </rPh>
    <rPh sb="12" eb="14">
      <t>イシ</t>
    </rPh>
    <rPh sb="19" eb="21">
      <t>カイトウ</t>
    </rPh>
    <rPh sb="24" eb="25">
      <t>カタ</t>
    </rPh>
    <rPh sb="27" eb="29">
      <t>ナンネン</t>
    </rPh>
    <rPh sb="29" eb="31">
      <t>キンム</t>
    </rPh>
    <rPh sb="33" eb="35">
      <t>イシ</t>
    </rPh>
    <phoneticPr fontId="5"/>
  </si>
  <si>
    <t>問12　「地域勤務をする意志はない」と回答した方は、その理由は何ですか</t>
    <rPh sb="0" eb="1">
      <t>ト</t>
    </rPh>
    <rPh sb="5" eb="7">
      <t>チイキ</t>
    </rPh>
    <rPh sb="7" eb="9">
      <t>キンム</t>
    </rPh>
    <rPh sb="12" eb="14">
      <t>イシ</t>
    </rPh>
    <rPh sb="19" eb="21">
      <t>カイトウ</t>
    </rPh>
    <rPh sb="23" eb="24">
      <t>カタ</t>
    </rPh>
    <rPh sb="28" eb="30">
      <t>リユウ</t>
    </rPh>
    <rPh sb="31" eb="32">
      <t>ナニ</t>
    </rPh>
    <phoneticPr fontId="5"/>
  </si>
  <si>
    <t>希望する内容の仕事ができないため</t>
    <rPh sb="0" eb="2">
      <t>キボウ</t>
    </rPh>
    <rPh sb="4" eb="6">
      <t>ナイヨウ</t>
    </rPh>
    <rPh sb="7" eb="9">
      <t>シゴト</t>
    </rPh>
    <phoneticPr fontId="5"/>
  </si>
  <si>
    <t>労働環境に不安があるため</t>
    <rPh sb="0" eb="2">
      <t>ロウドウ</t>
    </rPh>
    <rPh sb="2" eb="4">
      <t>カンキョウ</t>
    </rPh>
    <rPh sb="5" eb="7">
      <t>フアン</t>
    </rPh>
    <phoneticPr fontId="5"/>
  </si>
  <si>
    <t>家族の理解が得られないため</t>
    <rPh sb="0" eb="2">
      <t>カゾク</t>
    </rPh>
    <rPh sb="3" eb="5">
      <t>リカイ</t>
    </rPh>
    <rPh sb="6" eb="7">
      <t>エ</t>
    </rPh>
    <phoneticPr fontId="5"/>
  </si>
  <si>
    <t>両親等親族の介護のため</t>
    <rPh sb="0" eb="2">
      <t>リョウシン</t>
    </rPh>
    <rPh sb="2" eb="3">
      <t>トウ</t>
    </rPh>
    <rPh sb="3" eb="5">
      <t>シンゾク</t>
    </rPh>
    <rPh sb="6" eb="8">
      <t>カイゴ</t>
    </rPh>
    <phoneticPr fontId="5"/>
  </si>
  <si>
    <t>専門医等の資格取得に影響するため</t>
    <rPh sb="0" eb="2">
      <t>センモン</t>
    </rPh>
    <rPh sb="2" eb="3">
      <t>イ</t>
    </rPh>
    <rPh sb="3" eb="4">
      <t>トウ</t>
    </rPh>
    <rPh sb="5" eb="7">
      <t>シカク</t>
    </rPh>
    <rPh sb="7" eb="9">
      <t>シュトク</t>
    </rPh>
    <rPh sb="10" eb="12">
      <t>エイキョウ</t>
    </rPh>
    <phoneticPr fontId="5"/>
  </si>
  <si>
    <t>④　その他の意見</t>
    <rPh sb="4" eb="5">
      <t>タ</t>
    </rPh>
    <rPh sb="6" eb="8">
      <t>イケン</t>
    </rPh>
    <phoneticPr fontId="2"/>
  </si>
  <si>
    <t>完全な休みが確保できること（夜間・休日の呼び出しがないこと）／仕事にやりがいがあること／学会・研究会へ参加しやすいこと／</t>
    <rPh sb="0" eb="2">
      <t>カンゼン</t>
    </rPh>
    <rPh sb="3" eb="4">
      <t>ヤス</t>
    </rPh>
    <rPh sb="6" eb="8">
      <t>カクホ</t>
    </rPh>
    <rPh sb="14" eb="16">
      <t>ヤカン</t>
    </rPh>
    <rPh sb="17" eb="19">
      <t>キュウジツ</t>
    </rPh>
    <rPh sb="20" eb="21">
      <t>ヨ</t>
    </rPh>
    <rPh sb="22" eb="23">
      <t>ダ</t>
    </rPh>
    <rPh sb="31" eb="33">
      <t>シゴト</t>
    </rPh>
    <rPh sb="44" eb="46">
      <t>ガッカイ</t>
    </rPh>
    <rPh sb="47" eb="50">
      <t>ケンキュウカイ</t>
    </rPh>
    <rPh sb="51" eb="53">
      <t>サンカ</t>
    </rPh>
    <phoneticPr fontId="2"/>
  </si>
  <si>
    <t>自然が豊で住みよいこと／症例数が確保できること／妊娠可能期間でないこと／近くに受け入れてもらえる病院があること／</t>
    <rPh sb="0" eb="2">
      <t>シゼン</t>
    </rPh>
    <rPh sb="3" eb="4">
      <t>ユタカ</t>
    </rPh>
    <rPh sb="5" eb="6">
      <t>ス</t>
    </rPh>
    <rPh sb="12" eb="15">
      <t>ショウレイスウ</t>
    </rPh>
    <rPh sb="16" eb="18">
      <t>カクホ</t>
    </rPh>
    <rPh sb="24" eb="26">
      <t>ニンシン</t>
    </rPh>
    <rPh sb="26" eb="28">
      <t>カノウ</t>
    </rPh>
    <rPh sb="28" eb="30">
      <t>キカン</t>
    </rPh>
    <rPh sb="36" eb="37">
      <t>チカ</t>
    </rPh>
    <rPh sb="39" eb="40">
      <t>ウ</t>
    </rPh>
    <rPh sb="41" eb="42">
      <t>イ</t>
    </rPh>
    <rPh sb="48" eb="50">
      <t>ビョウイン</t>
    </rPh>
    <phoneticPr fontId="2"/>
  </si>
  <si>
    <t>時間外労働への対価をきちんと支払うべき／単身赴任への配慮も必要　など</t>
    <rPh sb="0" eb="3">
      <t>ジカンガイ</t>
    </rPh>
    <rPh sb="3" eb="5">
      <t>ロウドウ</t>
    </rPh>
    <rPh sb="7" eb="9">
      <t>タイカ</t>
    </rPh>
    <rPh sb="14" eb="16">
      <t>シハラ</t>
    </rPh>
    <rPh sb="20" eb="22">
      <t>タンシン</t>
    </rPh>
    <rPh sb="22" eb="24">
      <t>フニン</t>
    </rPh>
    <rPh sb="26" eb="28">
      <t>ハイリョ</t>
    </rPh>
    <rPh sb="29" eb="31">
      <t>ヒツヨウ</t>
    </rPh>
    <phoneticPr fontId="2"/>
  </si>
  <si>
    <t>地域住民が理解を示していること／軽度の受診・コンビニ受診を控えてもらうこと（負担軽減）／夜間救急のあり方を地域で考えること／</t>
    <rPh sb="0" eb="2">
      <t>チイキ</t>
    </rPh>
    <rPh sb="2" eb="4">
      <t>ジュウミン</t>
    </rPh>
    <rPh sb="5" eb="7">
      <t>リカイ</t>
    </rPh>
    <rPh sb="8" eb="9">
      <t>シメ</t>
    </rPh>
    <rPh sb="16" eb="18">
      <t>ケイド</t>
    </rPh>
    <rPh sb="19" eb="21">
      <t>ジュシン</t>
    </rPh>
    <rPh sb="26" eb="28">
      <t>ジュシン</t>
    </rPh>
    <rPh sb="29" eb="30">
      <t>ヒカ</t>
    </rPh>
    <rPh sb="38" eb="40">
      <t>フタン</t>
    </rPh>
    <rPh sb="40" eb="42">
      <t>ケイゲン</t>
    </rPh>
    <rPh sb="44" eb="46">
      <t>ヤカン</t>
    </rPh>
    <rPh sb="46" eb="48">
      <t>キュウキュウ</t>
    </rPh>
    <rPh sb="51" eb="52">
      <t>カタ</t>
    </rPh>
    <rPh sb="53" eb="55">
      <t>チイキ</t>
    </rPh>
    <rPh sb="56" eb="57">
      <t>カンガ</t>
    </rPh>
    <phoneticPr fontId="2"/>
  </si>
  <si>
    <t>○その他</t>
    <rPh sb="3" eb="4">
      <t>タ</t>
    </rPh>
    <phoneticPr fontId="2"/>
  </si>
  <si>
    <t>都市部よりも給与は高くあるべき／様々な助成があるべき（学会への参加旅費、医学書の購入費、職員の医療費免除、引越業者斡旋など）／</t>
    <rPh sb="0" eb="3">
      <t>トシブ</t>
    </rPh>
    <rPh sb="6" eb="8">
      <t>キュウヨ</t>
    </rPh>
    <rPh sb="9" eb="10">
      <t>タカ</t>
    </rPh>
    <rPh sb="16" eb="18">
      <t>サマザマ</t>
    </rPh>
    <rPh sb="19" eb="21">
      <t>ジョセイ</t>
    </rPh>
    <rPh sb="27" eb="29">
      <t>ガッカイ</t>
    </rPh>
    <rPh sb="31" eb="33">
      <t>サンカ</t>
    </rPh>
    <rPh sb="33" eb="35">
      <t>リョヒ</t>
    </rPh>
    <rPh sb="36" eb="39">
      <t>イガクショ</t>
    </rPh>
    <rPh sb="40" eb="43">
      <t>コウニュウヒ</t>
    </rPh>
    <rPh sb="44" eb="46">
      <t>ショクイン</t>
    </rPh>
    <rPh sb="47" eb="50">
      <t>イリョウヒ</t>
    </rPh>
    <rPh sb="50" eb="52">
      <t>メンジョ</t>
    </rPh>
    <rPh sb="53" eb="54">
      <t>ヒ</t>
    </rPh>
    <rPh sb="54" eb="55">
      <t>コ</t>
    </rPh>
    <rPh sb="55" eb="57">
      <t>ギョウシャ</t>
    </rPh>
    <rPh sb="57" eb="59">
      <t>アッセン</t>
    </rPh>
    <phoneticPr fontId="2"/>
  </si>
  <si>
    <t>医師同士の連携（代替医師の配置、他科との協力、他病院からの医師の派遣、開業医との住み分けなど）／コメディカルの意識向上／</t>
    <rPh sb="0" eb="2">
      <t>イシ</t>
    </rPh>
    <rPh sb="2" eb="4">
      <t>ドウシ</t>
    </rPh>
    <rPh sb="5" eb="7">
      <t>レンケイ</t>
    </rPh>
    <rPh sb="8" eb="10">
      <t>ダイタイ</t>
    </rPh>
    <rPh sb="10" eb="12">
      <t>イシ</t>
    </rPh>
    <rPh sb="13" eb="15">
      <t>ハイチ</t>
    </rPh>
    <rPh sb="16" eb="18">
      <t>タカ</t>
    </rPh>
    <rPh sb="20" eb="22">
      <t>キョウリョク</t>
    </rPh>
    <rPh sb="23" eb="24">
      <t>タ</t>
    </rPh>
    <rPh sb="24" eb="26">
      <t>ビョウイン</t>
    </rPh>
    <rPh sb="29" eb="31">
      <t>イシ</t>
    </rPh>
    <rPh sb="32" eb="34">
      <t>ハケン</t>
    </rPh>
    <rPh sb="35" eb="38">
      <t>カイギョウイ</t>
    </rPh>
    <rPh sb="40" eb="41">
      <t>ス</t>
    </rPh>
    <rPh sb="42" eb="43">
      <t>ワ</t>
    </rPh>
    <rPh sb="55" eb="57">
      <t>イシキ</t>
    </rPh>
    <rPh sb="57" eb="59">
      <t>コウジョウ</t>
    </rPh>
    <phoneticPr fontId="2"/>
  </si>
  <si>
    <t>病
床
数</t>
    <rPh sb="0" eb="1">
      <t>ヤマイ</t>
    </rPh>
    <rPh sb="2" eb="3">
      <t>ユカ</t>
    </rPh>
    <rPh sb="4" eb="5">
      <t>カズ</t>
    </rPh>
    <phoneticPr fontId="2"/>
  </si>
  <si>
    <t>100床未満</t>
    <rPh sb="3" eb="4">
      <t>ユカ</t>
    </rPh>
    <rPh sb="4" eb="6">
      <t>ミマン</t>
    </rPh>
    <phoneticPr fontId="2"/>
  </si>
  <si>
    <t>100～299床</t>
    <rPh sb="7" eb="8">
      <t>ユカ</t>
    </rPh>
    <phoneticPr fontId="2"/>
  </si>
  <si>
    <t>300～499床</t>
    <rPh sb="7" eb="8">
      <t>ユカ</t>
    </rPh>
    <phoneticPr fontId="2"/>
  </si>
  <si>
    <t>500～699床</t>
    <rPh sb="7" eb="8">
      <t>ユカ</t>
    </rPh>
    <phoneticPr fontId="2"/>
  </si>
  <si>
    <t>700床以上</t>
    <rPh sb="3" eb="4">
      <t>ユカ</t>
    </rPh>
    <rPh sb="4" eb="6">
      <t>イジョウ</t>
    </rPh>
    <phoneticPr fontId="2"/>
  </si>
  <si>
    <t>一人（完全）
主治医制</t>
    <rPh sb="0" eb="2">
      <t>ヒトリ</t>
    </rPh>
    <rPh sb="3" eb="5">
      <t>カンゼン</t>
    </rPh>
    <rPh sb="7" eb="11">
      <t>シュジイセイ</t>
    </rPh>
    <phoneticPr fontId="5"/>
  </si>
  <si>
    <t>複数（チーム）
主治医制</t>
    <rPh sb="0" eb="2">
      <t>フクスウ</t>
    </rPh>
    <rPh sb="8" eb="12">
      <t>シュジイセイ</t>
    </rPh>
    <phoneticPr fontId="5"/>
  </si>
  <si>
    <t>満足・どちらかというと満足の理由</t>
    <rPh sb="0" eb="2">
      <t>マンゾク</t>
    </rPh>
    <rPh sb="11" eb="13">
      <t>マンゾク</t>
    </rPh>
    <rPh sb="14" eb="16">
      <t>リユウ</t>
    </rPh>
    <phoneticPr fontId="2"/>
  </si>
  <si>
    <t>不満・どちらかというと不満の理由</t>
    <rPh sb="0" eb="2">
      <t>フマン</t>
    </rPh>
    <rPh sb="11" eb="13">
      <t>フマン</t>
    </rPh>
    <rPh sb="14" eb="16">
      <t>リユウ</t>
    </rPh>
    <phoneticPr fontId="2"/>
  </si>
  <si>
    <t>■　現在勤務している医療機関の勤務環境等について</t>
    <rPh sb="2" eb="4">
      <t>ゲンザイ</t>
    </rPh>
    <rPh sb="4" eb="6">
      <t>キンム</t>
    </rPh>
    <rPh sb="10" eb="12">
      <t>イリョウ</t>
    </rPh>
    <rPh sb="12" eb="14">
      <t>キカン</t>
    </rPh>
    <rPh sb="15" eb="17">
      <t>キンム</t>
    </rPh>
    <rPh sb="17" eb="19">
      <t>カンキョウ</t>
    </rPh>
    <rPh sb="19" eb="20">
      <t>トウ</t>
    </rPh>
    <phoneticPr fontId="2"/>
  </si>
  <si>
    <t>■　地域勤務に対する考え方について</t>
    <rPh sb="2" eb="4">
      <t>チイキ</t>
    </rPh>
    <rPh sb="4" eb="6">
      <t>キンム</t>
    </rPh>
    <rPh sb="7" eb="8">
      <t>タイ</t>
    </rPh>
    <rPh sb="10" eb="11">
      <t>カンガ</t>
    </rPh>
    <rPh sb="12" eb="13">
      <t>カタ</t>
    </rPh>
    <phoneticPr fontId="2"/>
  </si>
  <si>
    <t>地域医療に対する勤務医アンケート調査結果</t>
    <rPh sb="0" eb="4">
      <t>チイキイリョウ</t>
    </rPh>
    <rPh sb="5" eb="6">
      <t>タイ</t>
    </rPh>
    <rPh sb="8" eb="11">
      <t>キンムイ</t>
    </rPh>
    <rPh sb="16" eb="18">
      <t>チョウサ</t>
    </rPh>
    <rPh sb="18" eb="20">
      <t>ケッカ</t>
    </rPh>
    <phoneticPr fontId="5"/>
  </si>
  <si>
    <t>１　調査目的</t>
    <rPh sb="2" eb="4">
      <t>チョウサ</t>
    </rPh>
    <rPh sb="4" eb="6">
      <t>モクテキ</t>
    </rPh>
    <phoneticPr fontId="2"/>
  </si>
  <si>
    <t>　　都市部や地域に勤務している医師を対象に、地域勤務に対する意向等を調査し、今後の医師確保対策を講じるための基礎資料とすること。</t>
    <rPh sb="2" eb="5">
      <t>トシブ</t>
    </rPh>
    <rPh sb="6" eb="8">
      <t>チイキ</t>
    </rPh>
    <rPh sb="9" eb="11">
      <t>キンム</t>
    </rPh>
    <rPh sb="15" eb="17">
      <t>イシ</t>
    </rPh>
    <rPh sb="18" eb="20">
      <t>タイショウ</t>
    </rPh>
    <rPh sb="22" eb="24">
      <t>チイキ</t>
    </rPh>
    <rPh sb="24" eb="26">
      <t>キンム</t>
    </rPh>
    <rPh sb="27" eb="28">
      <t>タイ</t>
    </rPh>
    <rPh sb="30" eb="32">
      <t>イコウ</t>
    </rPh>
    <rPh sb="32" eb="33">
      <t>トウ</t>
    </rPh>
    <rPh sb="34" eb="36">
      <t>チョウサ</t>
    </rPh>
    <rPh sb="38" eb="40">
      <t>コンゴ</t>
    </rPh>
    <rPh sb="41" eb="43">
      <t>イシ</t>
    </rPh>
    <rPh sb="43" eb="45">
      <t>カクホ</t>
    </rPh>
    <rPh sb="45" eb="47">
      <t>タイサク</t>
    </rPh>
    <rPh sb="48" eb="49">
      <t>コウ</t>
    </rPh>
    <rPh sb="54" eb="56">
      <t>キソ</t>
    </rPh>
    <rPh sb="56" eb="58">
      <t>シリョウ</t>
    </rPh>
    <phoneticPr fontId="2"/>
  </si>
  <si>
    <t>２　調査対象</t>
    <rPh sb="2" eb="4">
      <t>チョウサ</t>
    </rPh>
    <rPh sb="4" eb="6">
      <t>タイショウ</t>
    </rPh>
    <phoneticPr fontId="2"/>
  </si>
  <si>
    <t>　　次に掲げる病院に勤務する常勤医（非常勤医、嘱託勤務医等又は初期臨床研修中の医師を除く）</t>
    <rPh sb="2" eb="3">
      <t>ツギ</t>
    </rPh>
    <rPh sb="4" eb="5">
      <t>カカ</t>
    </rPh>
    <rPh sb="7" eb="9">
      <t>ビョウイン</t>
    </rPh>
    <rPh sb="10" eb="12">
      <t>キンム</t>
    </rPh>
    <rPh sb="14" eb="17">
      <t>ジョウキンイ</t>
    </rPh>
    <rPh sb="18" eb="21">
      <t>ヒジョウキン</t>
    </rPh>
    <rPh sb="21" eb="22">
      <t>イ</t>
    </rPh>
    <rPh sb="23" eb="25">
      <t>ショクタク</t>
    </rPh>
    <rPh sb="25" eb="28">
      <t>キンムイ</t>
    </rPh>
    <rPh sb="28" eb="29">
      <t>トウ</t>
    </rPh>
    <rPh sb="29" eb="30">
      <t>マタ</t>
    </rPh>
    <rPh sb="31" eb="33">
      <t>ショキ</t>
    </rPh>
    <rPh sb="33" eb="35">
      <t>リンショウ</t>
    </rPh>
    <rPh sb="35" eb="38">
      <t>ケンシュウチュウ</t>
    </rPh>
    <rPh sb="39" eb="41">
      <t>イシ</t>
    </rPh>
    <rPh sb="42" eb="43">
      <t>ノゾ</t>
    </rPh>
    <phoneticPr fontId="2"/>
  </si>
  <si>
    <t>地方の病院（人口１万人未満の市町村に所在する市町村立病院及び公的病院）</t>
    <rPh sb="0" eb="2">
      <t>チホウ</t>
    </rPh>
    <rPh sb="3" eb="5">
      <t>ビョウイン</t>
    </rPh>
    <rPh sb="6" eb="8">
      <t>ジンコウ</t>
    </rPh>
    <rPh sb="9" eb="11">
      <t>マンニン</t>
    </rPh>
    <rPh sb="11" eb="13">
      <t>ミマン</t>
    </rPh>
    <rPh sb="14" eb="17">
      <t>シチョウソン</t>
    </rPh>
    <rPh sb="18" eb="20">
      <t>ショザイ</t>
    </rPh>
    <rPh sb="22" eb="25">
      <t>シチョウソン</t>
    </rPh>
    <rPh sb="25" eb="26">
      <t>リツ</t>
    </rPh>
    <rPh sb="26" eb="28">
      <t>ビョウイン</t>
    </rPh>
    <rPh sb="28" eb="29">
      <t>オヨ</t>
    </rPh>
    <rPh sb="30" eb="32">
      <t>コウテキ</t>
    </rPh>
    <rPh sb="32" eb="34">
      <t>ビョウイン</t>
    </rPh>
    <phoneticPr fontId="2"/>
  </si>
  <si>
    <t>地域センター病院</t>
    <rPh sb="0" eb="2">
      <t>チイキ</t>
    </rPh>
    <rPh sb="6" eb="8">
      <t>ビョウイン</t>
    </rPh>
    <phoneticPr fontId="2"/>
  </si>
  <si>
    <t>３　調査方法</t>
    <rPh sb="2" eb="4">
      <t>チョウサ</t>
    </rPh>
    <rPh sb="4" eb="6">
      <t>ホウホウ</t>
    </rPh>
    <phoneticPr fontId="2"/>
  </si>
  <si>
    <t>　（２）各病院がアンケート用紙を取りまとめ、道へ送付</t>
    <rPh sb="4" eb="7">
      <t>カクビョウイン</t>
    </rPh>
    <rPh sb="13" eb="15">
      <t>ヨウシ</t>
    </rPh>
    <rPh sb="16" eb="17">
      <t>ト</t>
    </rPh>
    <rPh sb="22" eb="23">
      <t>ドウ</t>
    </rPh>
    <rPh sb="24" eb="26">
      <t>ソウフ</t>
    </rPh>
    <phoneticPr fontId="2"/>
  </si>
  <si>
    <t>４　アンケート内容</t>
    <rPh sb="7" eb="9">
      <t>ナイヨウ</t>
    </rPh>
    <phoneticPr fontId="2"/>
  </si>
  <si>
    <t>　　医師の基本情報、現在の勤務環境及び地域勤務について　等</t>
    <rPh sb="2" eb="4">
      <t>イシ</t>
    </rPh>
    <rPh sb="5" eb="7">
      <t>キホン</t>
    </rPh>
    <rPh sb="7" eb="9">
      <t>ジョウホウ</t>
    </rPh>
    <rPh sb="10" eb="12">
      <t>ゲンザイ</t>
    </rPh>
    <rPh sb="13" eb="15">
      <t>キンム</t>
    </rPh>
    <rPh sb="15" eb="17">
      <t>カンキョウ</t>
    </rPh>
    <rPh sb="17" eb="18">
      <t>オヨ</t>
    </rPh>
    <rPh sb="19" eb="21">
      <t>チイキ</t>
    </rPh>
    <rPh sb="21" eb="23">
      <t>キンム</t>
    </rPh>
    <rPh sb="28" eb="29">
      <t>トウ</t>
    </rPh>
    <phoneticPr fontId="2"/>
  </si>
  <si>
    <t>６　アンケート結果</t>
    <rPh sb="7" eb="9">
      <t>ケッカ</t>
    </rPh>
    <phoneticPr fontId="5"/>
  </si>
  <si>
    <t>５　回答数</t>
    <rPh sb="2" eb="5">
      <t>カイトウスウ</t>
    </rPh>
    <phoneticPr fontId="5"/>
  </si>
  <si>
    <t>※平成29年度調査から各質問ごとの無回答は除いて割合を算出している</t>
    <rPh sb="1" eb="3">
      <t>ヘイセイ</t>
    </rPh>
    <rPh sb="5" eb="7">
      <t>ネンド</t>
    </rPh>
    <rPh sb="7" eb="9">
      <t>チョウサ</t>
    </rPh>
    <rPh sb="11" eb="14">
      <t>カクシツモン</t>
    </rPh>
    <rPh sb="17" eb="20">
      <t>ムカイトウ</t>
    </rPh>
    <rPh sb="21" eb="22">
      <t>ノゾ</t>
    </rPh>
    <rPh sb="24" eb="26">
      <t>ワリアイ</t>
    </rPh>
    <rPh sb="27" eb="29">
      <t>サンシュツ</t>
    </rPh>
    <phoneticPr fontId="2"/>
  </si>
  <si>
    <t>週40時間未満</t>
    <rPh sb="0" eb="1">
      <t>シュウ</t>
    </rPh>
    <rPh sb="3" eb="5">
      <t>ジカン</t>
    </rPh>
    <rPh sb="5" eb="7">
      <t>ミマン</t>
    </rPh>
    <phoneticPr fontId="5"/>
  </si>
  <si>
    <t>週40～60時間</t>
    <rPh sb="0" eb="1">
      <t>シュウ</t>
    </rPh>
    <rPh sb="6" eb="8">
      <t>ジカン</t>
    </rPh>
    <phoneticPr fontId="5"/>
  </si>
  <si>
    <t>週60～80時間</t>
    <rPh sb="0" eb="1">
      <t>シュウ</t>
    </rPh>
    <rPh sb="6" eb="8">
      <t>ジカン</t>
    </rPh>
    <phoneticPr fontId="5"/>
  </si>
  <si>
    <t>週80時間以上</t>
    <rPh sb="0" eb="1">
      <t>シュウ</t>
    </rPh>
    <rPh sb="3" eb="5">
      <t>ジカン</t>
    </rPh>
    <rPh sb="5" eb="7">
      <t>イジョウ</t>
    </rPh>
    <phoneticPr fontId="5"/>
  </si>
  <si>
    <t>あり</t>
    <phoneticPr fontId="2"/>
  </si>
  <si>
    <t>なし</t>
    <phoneticPr fontId="2"/>
  </si>
  <si>
    <t>問２　診療科の診療体制</t>
    <rPh sb="0" eb="1">
      <t>ト</t>
    </rPh>
    <rPh sb="3" eb="6">
      <t>シンリョウカ</t>
    </rPh>
    <rPh sb="7" eb="9">
      <t>シンリョウ</t>
    </rPh>
    <rPh sb="9" eb="11">
      <t>タイセイ</t>
    </rPh>
    <phoneticPr fontId="5"/>
  </si>
  <si>
    <t>宿日直回数（１ヵ月の回数）</t>
    <rPh sb="0" eb="1">
      <t>シュク</t>
    </rPh>
    <rPh sb="1" eb="3">
      <t>ニッチョク</t>
    </rPh>
    <rPh sb="3" eb="5">
      <t>カイスウ</t>
    </rPh>
    <rPh sb="8" eb="9">
      <t>ゲツ</t>
    </rPh>
    <rPh sb="10" eb="12">
      <t>カイスウ</t>
    </rPh>
    <phoneticPr fontId="2"/>
  </si>
  <si>
    <t>オンコール回数（１ヵ月の回数）</t>
    <rPh sb="5" eb="7">
      <t>カイスウ</t>
    </rPh>
    <rPh sb="10" eb="11">
      <t>ゲツ</t>
    </rPh>
    <rPh sb="12" eb="14">
      <t>カイスウ</t>
    </rPh>
    <phoneticPr fontId="2"/>
  </si>
  <si>
    <t>問14　札幌・旭川以外の医療機関に勤務する場合、どのような条件が必要ですか</t>
    <rPh sb="0" eb="1">
      <t>ト</t>
    </rPh>
    <rPh sb="4" eb="6">
      <t>サッポロ</t>
    </rPh>
    <rPh sb="7" eb="9">
      <t>アサヒカワ</t>
    </rPh>
    <rPh sb="9" eb="11">
      <t>イガイ</t>
    </rPh>
    <rPh sb="12" eb="14">
      <t>イリョウ</t>
    </rPh>
    <rPh sb="14" eb="16">
      <t>キカン</t>
    </rPh>
    <rPh sb="17" eb="19">
      <t>キンム</t>
    </rPh>
    <rPh sb="21" eb="23">
      <t>バアイ</t>
    </rPh>
    <rPh sb="29" eb="31">
      <t>ジョウケン</t>
    </rPh>
    <rPh sb="32" eb="34">
      <t>ヒツヨウ</t>
    </rPh>
    <phoneticPr fontId="5"/>
  </si>
  <si>
    <t>問16　地域勤務の経験の中で、他の病院にも広めた方が良いこと、改善すべきこと</t>
    <rPh sb="0" eb="1">
      <t>ト</t>
    </rPh>
    <rPh sb="4" eb="6">
      <t>チイキ</t>
    </rPh>
    <rPh sb="6" eb="8">
      <t>キンム</t>
    </rPh>
    <rPh sb="9" eb="11">
      <t>ケイケン</t>
    </rPh>
    <rPh sb="12" eb="13">
      <t>ナカ</t>
    </rPh>
    <rPh sb="15" eb="16">
      <t>ホカ</t>
    </rPh>
    <rPh sb="17" eb="19">
      <t>ビョウイン</t>
    </rPh>
    <rPh sb="21" eb="22">
      <t>ヒロ</t>
    </rPh>
    <rPh sb="24" eb="25">
      <t>ホウ</t>
    </rPh>
    <rPh sb="26" eb="27">
      <t>ヨ</t>
    </rPh>
    <rPh sb="31" eb="33">
      <t>カイゼン</t>
    </rPh>
    <phoneticPr fontId="5"/>
  </si>
  <si>
    <t>記録・報告書作成
や書類の整理</t>
    <rPh sb="0" eb="2">
      <t>キロク</t>
    </rPh>
    <rPh sb="3" eb="6">
      <t>ホウコクショ</t>
    </rPh>
    <rPh sb="6" eb="8">
      <t>サクセイ</t>
    </rPh>
    <rPh sb="10" eb="12">
      <t>ショルイ</t>
    </rPh>
    <rPh sb="13" eb="15">
      <t>セイリ</t>
    </rPh>
    <phoneticPr fontId="5"/>
  </si>
  <si>
    <t>カンファレンス
への参加</t>
    <rPh sb="10" eb="12">
      <t>サンカ</t>
    </rPh>
    <phoneticPr fontId="2"/>
  </si>
  <si>
    <t>わからない</t>
  </si>
  <si>
    <t>通常業務であるが、
業務内容は軽減
される</t>
    <rPh sb="0" eb="2">
      <t>ツウジョウ</t>
    </rPh>
    <rPh sb="2" eb="4">
      <t>ギョウム</t>
    </rPh>
    <rPh sb="10" eb="12">
      <t>ギョウム</t>
    </rPh>
    <rPh sb="12" eb="14">
      <t>ナイヨウ</t>
    </rPh>
    <rPh sb="15" eb="17">
      <t>ケイゲン</t>
    </rPh>
    <phoneticPr fontId="5"/>
  </si>
  <si>
    <t>短時間勤務で、業務
内容の軽減はない</t>
    <rPh sb="0" eb="3">
      <t>タンジカン</t>
    </rPh>
    <rPh sb="3" eb="5">
      <t>キンム</t>
    </rPh>
    <rPh sb="7" eb="9">
      <t>ギョウム</t>
    </rPh>
    <rPh sb="10" eb="12">
      <t>ナイヨウ</t>
    </rPh>
    <rPh sb="13" eb="15">
      <t>ケイゲン</t>
    </rPh>
    <phoneticPr fontId="5"/>
  </si>
  <si>
    <t>短時間勤務で、業務
内容も軽減される</t>
    <rPh sb="0" eb="3">
      <t>タンジカン</t>
    </rPh>
    <rPh sb="3" eb="5">
      <t>キンム</t>
    </rPh>
    <rPh sb="7" eb="9">
      <t>ギョウム</t>
    </rPh>
    <rPh sb="10" eb="12">
      <t>ナイヨウ</t>
    </rPh>
    <rPh sb="13" eb="15">
      <t>ケイゲン</t>
    </rPh>
    <phoneticPr fontId="5"/>
  </si>
  <si>
    <t>給与等
（給与・手
当等）</t>
    <rPh sb="0" eb="2">
      <t>キュウヨ</t>
    </rPh>
    <rPh sb="2" eb="3">
      <t>トウ</t>
    </rPh>
    <rPh sb="5" eb="7">
      <t>キュウヨ</t>
    </rPh>
    <rPh sb="8" eb="9">
      <t>テ</t>
    </rPh>
    <rPh sb="10" eb="11">
      <t>トウ</t>
    </rPh>
    <rPh sb="11" eb="12">
      <t>トウ</t>
    </rPh>
    <phoneticPr fontId="2"/>
  </si>
  <si>
    <t>はい</t>
    <phoneticPr fontId="2"/>
  </si>
  <si>
    <t>いいえ</t>
    <phoneticPr fontId="2"/>
  </si>
  <si>
    <t>希望する内容の
仕事ができないため</t>
    <rPh sb="0" eb="2">
      <t>キボウ</t>
    </rPh>
    <rPh sb="4" eb="6">
      <t>ナイヨウ</t>
    </rPh>
    <rPh sb="8" eb="10">
      <t>シゴト</t>
    </rPh>
    <phoneticPr fontId="5"/>
  </si>
  <si>
    <t>子どもの教育
環境が整って
いないため</t>
    <rPh sb="0" eb="1">
      <t>コ</t>
    </rPh>
    <rPh sb="4" eb="6">
      <t>キョウイク</t>
    </rPh>
    <rPh sb="7" eb="9">
      <t>カンキョウ</t>
    </rPh>
    <rPh sb="10" eb="11">
      <t>トトノ</t>
    </rPh>
    <phoneticPr fontId="2"/>
  </si>
  <si>
    <t>家族の理解が
得られないため</t>
    <rPh sb="0" eb="2">
      <t>カゾク</t>
    </rPh>
    <rPh sb="3" eb="5">
      <t>リカイ</t>
    </rPh>
    <rPh sb="7" eb="8">
      <t>エ</t>
    </rPh>
    <phoneticPr fontId="5"/>
  </si>
  <si>
    <t>元の勤務地／希望
する勤務地に行ける
保証がないため</t>
    <rPh sb="0" eb="1">
      <t>モト</t>
    </rPh>
    <rPh sb="2" eb="5">
      <t>キンムチ</t>
    </rPh>
    <rPh sb="6" eb="8">
      <t>キボウ</t>
    </rPh>
    <rPh sb="11" eb="14">
      <t>キンムチ</t>
    </rPh>
    <rPh sb="15" eb="16">
      <t>イ</t>
    </rPh>
    <rPh sb="19" eb="21">
      <t>ホショウ</t>
    </rPh>
    <phoneticPr fontId="2"/>
  </si>
  <si>
    <t>両親等親族の
介護のため</t>
    <rPh sb="0" eb="2">
      <t>リョウシン</t>
    </rPh>
    <rPh sb="2" eb="3">
      <t>トウ</t>
    </rPh>
    <rPh sb="3" eb="5">
      <t>シンゾク</t>
    </rPh>
    <rPh sb="7" eb="9">
      <t>カイゴ</t>
    </rPh>
    <phoneticPr fontId="5"/>
  </si>
  <si>
    <t>専門医等の資格取得
に影響するため</t>
    <rPh sb="0" eb="2">
      <t>センモン</t>
    </rPh>
    <rPh sb="2" eb="3">
      <t>イ</t>
    </rPh>
    <rPh sb="3" eb="4">
      <t>トウ</t>
    </rPh>
    <rPh sb="5" eb="7">
      <t>シカク</t>
    </rPh>
    <rPh sb="7" eb="9">
      <t>シュトク</t>
    </rPh>
    <rPh sb="11" eb="13">
      <t>エイキョウ</t>
    </rPh>
    <phoneticPr fontId="5"/>
  </si>
  <si>
    <t>経済的理由（収入・
待遇）のため</t>
    <rPh sb="0" eb="3">
      <t>ケイザイテキ</t>
    </rPh>
    <rPh sb="3" eb="5">
      <t>リユウ</t>
    </rPh>
    <rPh sb="6" eb="8">
      <t>シュウニュウ</t>
    </rPh>
    <rPh sb="10" eb="12">
      <t>タイグウ</t>
    </rPh>
    <phoneticPr fontId="5"/>
  </si>
  <si>
    <t>単身赴任者への
配慮が充実している
（休日・帰省費用等）</t>
    <rPh sb="0" eb="2">
      <t>タンシン</t>
    </rPh>
    <rPh sb="2" eb="5">
      <t>フニンシャ</t>
    </rPh>
    <rPh sb="8" eb="10">
      <t>ハイリョ</t>
    </rPh>
    <rPh sb="11" eb="13">
      <t>ジュウジツ</t>
    </rPh>
    <rPh sb="19" eb="21">
      <t>キュウジツ</t>
    </rPh>
    <rPh sb="22" eb="24">
      <t>キセイ</t>
    </rPh>
    <rPh sb="24" eb="26">
      <t>ヒヨウ</t>
    </rPh>
    <rPh sb="26" eb="27">
      <t>トウ</t>
    </rPh>
    <phoneticPr fontId="5"/>
  </si>
  <si>
    <t>商業・娯楽施設が
充実している</t>
    <phoneticPr fontId="2"/>
  </si>
  <si>
    <t>配偶者の居住地・
勤務地である</t>
    <phoneticPr fontId="2"/>
  </si>
  <si>
    <t>入院のない小規模の
診療所である</t>
    <rPh sb="0" eb="2">
      <t>ニュウイン</t>
    </rPh>
    <rPh sb="5" eb="8">
      <t>ショウキボ</t>
    </rPh>
    <rPh sb="10" eb="13">
      <t>シンリョウジョ</t>
    </rPh>
    <phoneticPr fontId="2"/>
  </si>
  <si>
    <t>医師の勤務環境改善に
取り組まれている</t>
    <rPh sb="0" eb="2">
      <t>イシ</t>
    </rPh>
    <rPh sb="3" eb="5">
      <t>キンム</t>
    </rPh>
    <rPh sb="5" eb="7">
      <t>カンキョウ</t>
    </rPh>
    <rPh sb="7" eb="9">
      <t>カイゼン</t>
    </rPh>
    <rPh sb="11" eb="12">
      <t>ト</t>
    </rPh>
    <rPh sb="13" eb="14">
      <t>ク</t>
    </rPh>
    <phoneticPr fontId="5"/>
  </si>
  <si>
    <t>居住環境が整備
されている</t>
    <rPh sb="0" eb="2">
      <t>キョジュウ</t>
    </rPh>
    <rPh sb="2" eb="4">
      <t>カンキョウ</t>
    </rPh>
    <rPh sb="5" eb="7">
      <t>セイビ</t>
    </rPh>
    <phoneticPr fontId="2"/>
  </si>
  <si>
    <t>医師の勤務環境に対し
て地域の理解がある</t>
    <rPh sb="0" eb="2">
      <t>イシ</t>
    </rPh>
    <rPh sb="3" eb="5">
      <t>キンム</t>
    </rPh>
    <rPh sb="5" eb="7">
      <t>カンキョウ</t>
    </rPh>
    <rPh sb="8" eb="9">
      <t>タイ</t>
    </rPh>
    <rPh sb="12" eb="14">
      <t>チイキ</t>
    </rPh>
    <rPh sb="15" eb="17">
      <t>リカイ</t>
    </rPh>
    <phoneticPr fontId="2"/>
  </si>
  <si>
    <t>幅広い症例を
経験できた</t>
    <rPh sb="0" eb="2">
      <t>ハバヒロ</t>
    </rPh>
    <rPh sb="3" eb="5">
      <t>ショウレイ</t>
    </rPh>
    <rPh sb="7" eb="9">
      <t>ケイケン</t>
    </rPh>
    <phoneticPr fontId="5"/>
  </si>
  <si>
    <t>患者、住民から必要と
される充実感がある
（患者との距離が近い）</t>
    <rPh sb="0" eb="2">
      <t>カンジャ</t>
    </rPh>
    <rPh sb="3" eb="5">
      <t>ジュウミン</t>
    </rPh>
    <rPh sb="7" eb="9">
      <t>ヒツヨウ</t>
    </rPh>
    <rPh sb="14" eb="17">
      <t>ジュウジツカン</t>
    </rPh>
    <rPh sb="22" eb="24">
      <t>カンジャ</t>
    </rPh>
    <rPh sb="26" eb="28">
      <t>キョリ</t>
    </rPh>
    <rPh sb="29" eb="30">
      <t>チカ</t>
    </rPh>
    <phoneticPr fontId="5"/>
  </si>
  <si>
    <t>診療に対する
裁量が大きい
（任される部分が多い）</t>
    <rPh sb="0" eb="2">
      <t>シンリョウ</t>
    </rPh>
    <rPh sb="3" eb="4">
      <t>タイ</t>
    </rPh>
    <rPh sb="7" eb="9">
      <t>サイリョウ</t>
    </rPh>
    <rPh sb="10" eb="11">
      <t>オオ</t>
    </rPh>
    <rPh sb="15" eb="16">
      <t>マカ</t>
    </rPh>
    <rPh sb="19" eb="21">
      <t>ブブン</t>
    </rPh>
    <rPh sb="22" eb="23">
      <t>オオ</t>
    </rPh>
    <phoneticPr fontId="2"/>
  </si>
  <si>
    <t>環境が良い（地域、
自然、子どもの成長等）</t>
    <rPh sb="0" eb="2">
      <t>カンキョウ</t>
    </rPh>
    <rPh sb="3" eb="4">
      <t>ヨ</t>
    </rPh>
    <rPh sb="6" eb="8">
      <t>チイキ</t>
    </rPh>
    <rPh sb="10" eb="12">
      <t>シゼン</t>
    </rPh>
    <rPh sb="13" eb="14">
      <t>コ</t>
    </rPh>
    <rPh sb="17" eb="19">
      <t>セイチョウ</t>
    </rPh>
    <rPh sb="19" eb="20">
      <t>トウ</t>
    </rPh>
    <phoneticPr fontId="2"/>
  </si>
  <si>
    <t>地域（住民）からの
支援や理解がある</t>
    <rPh sb="0" eb="2">
      <t>チイキ</t>
    </rPh>
    <rPh sb="3" eb="5">
      <t>ジュウミン</t>
    </rPh>
    <rPh sb="10" eb="12">
      <t>シエン</t>
    </rPh>
    <rPh sb="13" eb="15">
      <t>リカイ</t>
    </rPh>
    <phoneticPr fontId="2"/>
  </si>
  <si>
    <t>現在の生活圏から
交通の便が良く
距離が近い</t>
    <rPh sb="0" eb="2">
      <t>ゲンザイ</t>
    </rPh>
    <rPh sb="3" eb="6">
      <t>セイカツケン</t>
    </rPh>
    <rPh sb="9" eb="11">
      <t>コウツウ</t>
    </rPh>
    <rPh sb="12" eb="13">
      <t>ベン</t>
    </rPh>
    <rPh sb="14" eb="15">
      <t>ヨ</t>
    </rPh>
    <rPh sb="17" eb="19">
      <t>キョリ</t>
    </rPh>
    <rPh sb="20" eb="21">
      <t>チカ</t>
    </rPh>
    <phoneticPr fontId="5"/>
  </si>
  <si>
    <r>
      <rPr>
        <sz val="10"/>
        <color theme="1"/>
        <rFont val="HGｺﾞｼｯｸM"/>
        <family val="3"/>
        <charset val="128"/>
      </rPr>
      <t>仕事のやりがい</t>
    </r>
    <r>
      <rPr>
        <sz val="11"/>
        <color theme="1"/>
        <rFont val="HGｺﾞｼｯｸM"/>
        <family val="3"/>
        <charset val="128"/>
      </rPr>
      <t xml:space="preserve">
</t>
    </r>
    <r>
      <rPr>
        <sz val="9"/>
        <color theme="1"/>
        <rFont val="HGｺﾞｼｯｸM"/>
        <family val="3"/>
        <charset val="128"/>
      </rPr>
      <t>（内容・症例数等）</t>
    </r>
    <rPh sb="0" eb="2">
      <t>シゴト</t>
    </rPh>
    <rPh sb="9" eb="11">
      <t>ナイヨウ</t>
    </rPh>
    <rPh sb="12" eb="15">
      <t>ショウレイスウ</t>
    </rPh>
    <rPh sb="15" eb="16">
      <t>トウ</t>
    </rPh>
    <phoneticPr fontId="5"/>
  </si>
  <si>
    <t>都市部の病院（札幌市、旭川市で初期臨床研修医を有する市立病院及び公的病院）</t>
    <rPh sb="0" eb="3">
      <t>トシブ</t>
    </rPh>
    <rPh sb="4" eb="6">
      <t>ビョウイン</t>
    </rPh>
    <rPh sb="7" eb="9">
      <t>サッポロ</t>
    </rPh>
    <rPh sb="9" eb="10">
      <t>シ</t>
    </rPh>
    <rPh sb="11" eb="13">
      <t>アサヒカワ</t>
    </rPh>
    <rPh sb="13" eb="14">
      <t>シ</t>
    </rPh>
    <rPh sb="15" eb="17">
      <t>ショキ</t>
    </rPh>
    <rPh sb="17" eb="19">
      <t>リンショウ</t>
    </rPh>
    <rPh sb="19" eb="22">
      <t>ケンシュウイ</t>
    </rPh>
    <rPh sb="23" eb="24">
      <t>ユウ</t>
    </rPh>
    <rPh sb="26" eb="28">
      <t>シリツ</t>
    </rPh>
    <rPh sb="28" eb="30">
      <t>ビョウイン</t>
    </rPh>
    <rPh sb="30" eb="31">
      <t>オヨ</t>
    </rPh>
    <rPh sb="32" eb="34">
      <t>コウテキ</t>
    </rPh>
    <rPh sb="34" eb="36">
      <t>ビョウイン</t>
    </rPh>
    <phoneticPr fontId="2"/>
  </si>
  <si>
    <t>勤務医
（常勤）</t>
    <rPh sb="0" eb="3">
      <t>キンムイ</t>
    </rPh>
    <rPh sb="5" eb="7">
      <t>ジョウキン</t>
    </rPh>
    <phoneticPr fontId="5"/>
  </si>
  <si>
    <r>
      <t xml:space="preserve">勤務医
</t>
    </r>
    <r>
      <rPr>
        <sz val="8"/>
        <color theme="1"/>
        <rFont val="HGｺﾞｼｯｸM"/>
        <family val="3"/>
        <charset val="128"/>
      </rPr>
      <t>（常勤・短時間）</t>
    </r>
    <rPh sb="0" eb="3">
      <t>キンムイ</t>
    </rPh>
    <rPh sb="5" eb="7">
      <t>ジョウキン</t>
    </rPh>
    <rPh sb="8" eb="11">
      <t>タンジカン</t>
    </rPh>
    <phoneticPr fontId="5"/>
  </si>
  <si>
    <t>⑪　専門医資格</t>
    <rPh sb="2" eb="5">
      <t>センモンイ</t>
    </rPh>
    <rPh sb="5" eb="7">
      <t>シカク</t>
    </rPh>
    <phoneticPr fontId="5"/>
  </si>
  <si>
    <t>⑫　指導医資格</t>
    <rPh sb="2" eb="5">
      <t>シドウイ</t>
    </rPh>
    <rPh sb="5" eb="7">
      <t>シカク</t>
    </rPh>
    <phoneticPr fontId="5"/>
  </si>
  <si>
    <r>
      <rPr>
        <sz val="9"/>
        <color theme="1"/>
        <rFont val="HGｺﾞｼｯｸM"/>
        <family val="3"/>
        <charset val="128"/>
      </rPr>
      <t>複数（チーム）</t>
    </r>
    <r>
      <rPr>
        <sz val="11"/>
        <color theme="1"/>
        <rFont val="HGｺﾞｼｯｸM"/>
        <family val="3"/>
        <charset val="128"/>
      </rPr>
      <t xml:space="preserve">
主治医制</t>
    </r>
    <rPh sb="0" eb="2">
      <t>フクスウ</t>
    </rPh>
    <rPh sb="8" eb="12">
      <t>シュジイセイ</t>
    </rPh>
    <phoneticPr fontId="5"/>
  </si>
  <si>
    <r>
      <t xml:space="preserve">給与等
</t>
    </r>
    <r>
      <rPr>
        <sz val="8"/>
        <color theme="1"/>
        <rFont val="HGｺﾞｼｯｸM"/>
        <family val="3"/>
        <charset val="128"/>
      </rPr>
      <t>（給与・手当等）</t>
    </r>
    <rPh sb="0" eb="2">
      <t>キュウヨ</t>
    </rPh>
    <rPh sb="2" eb="3">
      <t>トウ</t>
    </rPh>
    <rPh sb="5" eb="7">
      <t>キュウヨ</t>
    </rPh>
    <rPh sb="8" eb="10">
      <t>テアテ</t>
    </rPh>
    <rPh sb="10" eb="11">
      <t>トウ</t>
    </rPh>
    <phoneticPr fontId="2"/>
  </si>
  <si>
    <r>
      <rPr>
        <sz val="9"/>
        <color theme="1"/>
        <rFont val="HGｺﾞｼｯｸM"/>
        <family val="3"/>
        <charset val="128"/>
      </rPr>
      <t xml:space="preserve">仕事のやりがい
</t>
    </r>
    <r>
      <rPr>
        <sz val="7"/>
        <color theme="1"/>
        <rFont val="HGｺﾞｼｯｸM"/>
        <family val="3"/>
        <charset val="128"/>
      </rPr>
      <t>（内容・症例数等）</t>
    </r>
    <rPh sb="0" eb="2">
      <t>シゴト</t>
    </rPh>
    <rPh sb="9" eb="11">
      <t>ナイヨウ</t>
    </rPh>
    <rPh sb="12" eb="15">
      <t>ショウレイスウ</t>
    </rPh>
    <rPh sb="15" eb="16">
      <t>トウ</t>
    </rPh>
    <phoneticPr fontId="5"/>
  </si>
  <si>
    <t>経済的理由（収入・待遇)のため</t>
    <rPh sb="0" eb="3">
      <t>ケイザイテキ</t>
    </rPh>
    <rPh sb="3" eb="5">
      <t>リユウ</t>
    </rPh>
    <rPh sb="6" eb="8">
      <t>シュウニュウ</t>
    </rPh>
    <rPh sb="9" eb="11">
      <t>タイグウ</t>
    </rPh>
    <phoneticPr fontId="5"/>
  </si>
  <si>
    <t>○休日・勤務形態等に関すること</t>
    <rPh sb="1" eb="3">
      <t>キュウジツ</t>
    </rPh>
    <rPh sb="4" eb="6">
      <t>キンム</t>
    </rPh>
    <rPh sb="6" eb="8">
      <t>ケイタイ</t>
    </rPh>
    <rPh sb="8" eb="9">
      <t>トウ</t>
    </rPh>
    <rPh sb="10" eb="11">
      <t>カン</t>
    </rPh>
    <phoneticPr fontId="2"/>
  </si>
  <si>
    <t>○人間関係等に関すること</t>
    <phoneticPr fontId="2"/>
  </si>
  <si>
    <t>○処遇等に関すること</t>
    <rPh sb="1" eb="3">
      <t>ショグウ</t>
    </rPh>
    <rPh sb="3" eb="4">
      <t>トウ</t>
    </rPh>
    <rPh sb="5" eb="6">
      <t>カン</t>
    </rPh>
    <phoneticPr fontId="2"/>
  </si>
  <si>
    <t>○地域住民に関すること</t>
    <rPh sb="1" eb="3">
      <t>チイキ</t>
    </rPh>
    <rPh sb="3" eb="5">
      <t>ジュウミン</t>
    </rPh>
    <rPh sb="6" eb="7">
      <t>カン</t>
    </rPh>
    <phoneticPr fontId="2"/>
  </si>
  <si>
    <t>○人員の確保に関すること</t>
    <rPh sb="1" eb="3">
      <t>ジンイン</t>
    </rPh>
    <rPh sb="4" eb="6">
      <t>カクホ</t>
    </rPh>
    <rPh sb="7" eb="8">
      <t>カン</t>
    </rPh>
    <phoneticPr fontId="2"/>
  </si>
  <si>
    <t>○制度に関すること</t>
    <rPh sb="1" eb="3">
      <t>セイド</t>
    </rPh>
    <rPh sb="4" eb="5">
      <t>カン</t>
    </rPh>
    <phoneticPr fontId="2"/>
  </si>
  <si>
    <t>令和２年（2020年）３月</t>
    <rPh sb="0" eb="2">
      <t>レイワ</t>
    </rPh>
    <rPh sb="3" eb="4">
      <t>ネン</t>
    </rPh>
    <rPh sb="9" eb="10">
      <t>ネン</t>
    </rPh>
    <rPh sb="12" eb="13">
      <t>ガツ</t>
    </rPh>
    <phoneticPr fontId="2"/>
  </si>
  <si>
    <t>　（１）各病院を通じて、当該病院に勤務する医師に用紙を配布（令和元年12月27日）</t>
    <rPh sb="4" eb="7">
      <t>カクビョウイン</t>
    </rPh>
    <rPh sb="8" eb="9">
      <t>ツウ</t>
    </rPh>
    <rPh sb="12" eb="14">
      <t>トウガイ</t>
    </rPh>
    <rPh sb="14" eb="16">
      <t>ビョウイン</t>
    </rPh>
    <rPh sb="17" eb="19">
      <t>キンム</t>
    </rPh>
    <rPh sb="21" eb="23">
      <t>イシ</t>
    </rPh>
    <rPh sb="24" eb="26">
      <t>ヨウシ</t>
    </rPh>
    <rPh sb="27" eb="29">
      <t>ハイフ</t>
    </rPh>
    <rPh sb="30" eb="32">
      <t>レイワ</t>
    </rPh>
    <rPh sb="32" eb="34">
      <t>ガンネン</t>
    </rPh>
    <rPh sb="34" eb="35">
      <t>ヘイネン</t>
    </rPh>
    <rPh sb="36" eb="37">
      <t>ガツ</t>
    </rPh>
    <rPh sb="39" eb="40">
      <t>ニチ</t>
    </rPh>
    <phoneticPr fontId="2"/>
  </si>
  <si>
    <t>Ｈ２７</t>
    <phoneticPr fontId="2"/>
  </si>
  <si>
    <t>-</t>
    <phoneticPr fontId="2"/>
  </si>
  <si>
    <t>-</t>
    <phoneticPr fontId="2"/>
  </si>
  <si>
    <t>Ｈ２７</t>
    <phoneticPr fontId="2"/>
  </si>
  <si>
    <t>-</t>
    <phoneticPr fontId="2"/>
  </si>
  <si>
    <t>-</t>
    <phoneticPr fontId="2"/>
  </si>
  <si>
    <t>-</t>
    <phoneticPr fontId="2"/>
  </si>
  <si>
    <t>Ｒ１</t>
    <phoneticPr fontId="2"/>
  </si>
  <si>
    <t>Ｒ１</t>
    <phoneticPr fontId="2"/>
  </si>
  <si>
    <t>Ｒ１</t>
    <phoneticPr fontId="2"/>
  </si>
  <si>
    <t>Ｒ１</t>
    <phoneticPr fontId="2"/>
  </si>
  <si>
    <t>札幌や東京へのアクセスが良いこと／教育環境が整っていること／他職種との連携がしやすいこと／子育てしやすい環境であること／</t>
    <rPh sb="17" eb="19">
      <t>キョウイク</t>
    </rPh>
    <rPh sb="19" eb="21">
      <t>カンキョウ</t>
    </rPh>
    <rPh sb="22" eb="23">
      <t>トトノ</t>
    </rPh>
    <rPh sb="30" eb="33">
      <t>タショクシュ</t>
    </rPh>
    <rPh sb="35" eb="37">
      <t>レンケイ</t>
    </rPh>
    <rPh sb="45" eb="47">
      <t>コソダ</t>
    </rPh>
    <rPh sb="52" eb="54">
      <t>カンキョウ</t>
    </rPh>
    <phoneticPr fontId="2"/>
  </si>
  <si>
    <t>自分の専門科があること（能力が発揮できること）／全科当直がないこと／家族に何かあった時にかけつけられること／</t>
    <rPh sb="0" eb="2">
      <t>ジブン</t>
    </rPh>
    <rPh sb="3" eb="6">
      <t>センモンカ</t>
    </rPh>
    <rPh sb="12" eb="14">
      <t>ノウリョク</t>
    </rPh>
    <rPh sb="15" eb="17">
      <t>ハッキ</t>
    </rPh>
    <rPh sb="24" eb="26">
      <t>ゼンカ</t>
    </rPh>
    <rPh sb="26" eb="28">
      <t>トウチョク</t>
    </rPh>
    <rPh sb="34" eb="36">
      <t>カゾク</t>
    </rPh>
    <rPh sb="37" eb="38">
      <t>ナニ</t>
    </rPh>
    <rPh sb="42" eb="43">
      <t>トキ</t>
    </rPh>
    <phoneticPr fontId="2"/>
  </si>
  <si>
    <t>医師を充足させるべき・マンパワーを増やすべき（万が一の時の対応、女性医師の支援、休日の日当直医師派遣　など）／</t>
    <rPh sb="0" eb="2">
      <t>イシ</t>
    </rPh>
    <rPh sb="3" eb="5">
      <t>ジュウソク</t>
    </rPh>
    <rPh sb="17" eb="18">
      <t>フ</t>
    </rPh>
    <rPh sb="23" eb="24">
      <t>マン</t>
    </rPh>
    <rPh sb="25" eb="26">
      <t>イチ</t>
    </rPh>
    <rPh sb="27" eb="28">
      <t>トキ</t>
    </rPh>
    <rPh sb="29" eb="31">
      <t>タイオウ</t>
    </rPh>
    <rPh sb="32" eb="34">
      <t>ジョセイ</t>
    </rPh>
    <rPh sb="34" eb="36">
      <t>イシ</t>
    </rPh>
    <rPh sb="37" eb="39">
      <t>シエン</t>
    </rPh>
    <rPh sb="40" eb="42">
      <t>キュウジツ</t>
    </rPh>
    <rPh sb="43" eb="45">
      <t>ニットウ</t>
    </rPh>
    <rPh sb="45" eb="46">
      <t>チョク</t>
    </rPh>
    <rPh sb="46" eb="48">
      <t>イシ</t>
    </rPh>
    <rPh sb="48" eb="50">
      <t>ハケン</t>
    </rPh>
    <phoneticPr fontId="2"/>
  </si>
  <si>
    <t>臨床研修の充実／病院の集約／病理解剖を受付しやすい環境整備　など</t>
    <rPh sb="14" eb="16">
      <t>ビョウリ</t>
    </rPh>
    <rPh sb="16" eb="18">
      <t>カイボウ</t>
    </rPh>
    <rPh sb="19" eb="21">
      <t>ウケツケ</t>
    </rPh>
    <rPh sb="25" eb="27">
      <t>カンキョウ</t>
    </rPh>
    <rPh sb="27" eb="29">
      <t>セイビ</t>
    </rPh>
    <phoneticPr fontId="2"/>
  </si>
  <si>
    <t>夜間と休日はチーム制にして十分な休みを確保すること／休日が取りやすい環境づくりをすること／適正な勤務時間にすること／</t>
    <rPh sb="26" eb="28">
      <t>キュウジツ</t>
    </rPh>
    <rPh sb="29" eb="30">
      <t>ト</t>
    </rPh>
    <rPh sb="34" eb="36">
      <t>カンキョウ</t>
    </rPh>
    <phoneticPr fontId="2"/>
  </si>
  <si>
    <t>勤務時間外に呼び出ししないこと／当直日数を減らすこと／当直明けに休めるようにするべき／マイナー科に全科当直はさせないこと　など</t>
    <rPh sb="47" eb="48">
      <t>カ</t>
    </rPh>
    <rPh sb="49" eb="51">
      <t>ゼンカ</t>
    </rPh>
    <rPh sb="51" eb="53">
      <t>トウチョク</t>
    </rPh>
    <phoneticPr fontId="2"/>
  </si>
  <si>
    <t>地域で病院を支える団体があること　など</t>
    <phoneticPr fontId="2"/>
  </si>
  <si>
    <t>一定期間地域での勤務を義務化するべき／道外や都市部とのローテーション制をつくる　など</t>
    <rPh sb="4" eb="6">
      <t>チイキ</t>
    </rPh>
    <rPh sb="8" eb="10">
      <t>キンム</t>
    </rPh>
    <phoneticPr fontId="2"/>
  </si>
  <si>
    <r>
      <t>医師に対する適正な人事考課／AI問診の導入／診療看護師の派遣／医師個人の精神的・肉体的負担の軽減／居住環境を整備するべき／</t>
    </r>
    <r>
      <rPr>
        <sz val="11"/>
        <color rgb="FFFF0000"/>
        <rFont val="HGｺﾞｼｯｸM"/>
        <family val="3"/>
        <charset val="128"/>
      </rPr>
      <t/>
    </r>
    <rPh sb="0" eb="2">
      <t>イシ</t>
    </rPh>
    <rPh sb="3" eb="4">
      <t>タイ</t>
    </rPh>
    <rPh sb="6" eb="8">
      <t>テキセイ</t>
    </rPh>
    <rPh sb="9" eb="11">
      <t>ジンジ</t>
    </rPh>
    <rPh sb="11" eb="13">
      <t>コウカ</t>
    </rPh>
    <rPh sb="16" eb="18">
      <t>モンシン</t>
    </rPh>
    <rPh sb="19" eb="21">
      <t>ドウニュウ</t>
    </rPh>
    <rPh sb="22" eb="24">
      <t>シンリョウ</t>
    </rPh>
    <rPh sb="24" eb="27">
      <t>カンゴシ</t>
    </rPh>
    <rPh sb="28" eb="30">
      <t>ハケン</t>
    </rPh>
    <rPh sb="31" eb="33">
      <t>イシ</t>
    </rPh>
    <rPh sb="33" eb="35">
      <t>コジン</t>
    </rPh>
    <rPh sb="36" eb="39">
      <t>セイシンテキ</t>
    </rPh>
    <rPh sb="40" eb="43">
      <t>ニクタイテキ</t>
    </rPh>
    <rPh sb="43" eb="45">
      <t>フタン</t>
    </rPh>
    <rPh sb="46" eb="48">
      <t>ケイゲン</t>
    </rPh>
    <rPh sb="49" eb="51">
      <t>キョジュウ</t>
    </rPh>
    <rPh sb="51" eb="53">
      <t>カンキョウ</t>
    </rPh>
    <rPh sb="54" eb="56">
      <t>セイビ</t>
    </rPh>
    <phoneticPr fontId="2"/>
  </si>
  <si>
    <r>
      <t>良好な人間関係</t>
    </r>
    <r>
      <rPr>
        <sz val="10"/>
        <rFont val="HGｺﾞｼｯｸM"/>
        <family val="3"/>
        <charset val="128"/>
      </rPr>
      <t>／</t>
    </r>
    <r>
      <rPr>
        <sz val="11"/>
        <rFont val="HGｺﾞｼｯｸM"/>
        <family val="3"/>
        <charset val="128"/>
      </rPr>
      <t>他職種との連携／他施設とのカンファレンス等地域勉強会</t>
    </r>
    <r>
      <rPr>
        <sz val="9"/>
        <rFont val="HGｺﾞｼｯｸM"/>
        <family val="3"/>
        <charset val="128"/>
      </rPr>
      <t>　</t>
    </r>
    <r>
      <rPr>
        <sz val="10"/>
        <rFont val="HGｺﾞｼｯｸM"/>
        <family val="3"/>
        <charset val="128"/>
      </rPr>
      <t>など</t>
    </r>
    <rPh sb="16" eb="19">
      <t>タシセツ</t>
    </rPh>
    <rPh sb="28" eb="29">
      <t>トウ</t>
    </rPh>
    <rPh sb="29" eb="31">
      <t>チイキ</t>
    </rPh>
    <rPh sb="31" eb="34">
      <t>ベンキョウカイ</t>
    </rPh>
    <phoneticPr fontId="2"/>
  </si>
  <si>
    <t>業務量が適正であること／子供がある程度大きくなっていること／医療行政がしっかりしていること　など</t>
    <rPh sb="0" eb="3">
      <t>ギョウムリョウ</t>
    </rPh>
    <rPh sb="4" eb="6">
      <t>テキセイ</t>
    </rPh>
    <phoneticPr fontId="2"/>
  </si>
  <si>
    <t>保育環境の充実　など</t>
    <rPh sb="0" eb="2">
      <t>ホイク</t>
    </rPh>
    <rPh sb="2" eb="4">
      <t>カンキョウ</t>
    </rPh>
    <rPh sb="5" eb="7">
      <t>ジュウジツ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</si>
</sst>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9" formatCode="\(0.0%\)"/>
    <numFmt numFmtId="180" formatCode="#,##0_ "/>
    <numFmt numFmtId="181" formatCode="0.0%"/>
    <numFmt numFmtId="182" formatCode="#,##0.0_ "/>
    <numFmt numFmtId="183" formatCode="0_ "/>
    <numFmt numFmtId="184" formatCode="\(0.000%\)"/>
    <numFmt numFmtId="185" formatCode="\(0%\)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HG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u/>
      <sz val="16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color indexed="10"/>
      <name val="HGｺﾞｼｯｸM"/>
      <family val="3"/>
      <charset val="128"/>
    </font>
    <font>
      <b/>
      <sz val="11"/>
      <color theme="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b/>
      <sz val="9"/>
      <color rgb="FFFF0000"/>
      <name val="HGｺﾞｼｯｸM"/>
      <family val="3"/>
      <charset val="128"/>
    </font>
    <font>
      <sz val="11"/>
      <name val="HGｺﾞｼｯｸM"/>
      <family val="3"/>
      <charset val="128"/>
    </font>
    <font>
      <i/>
      <sz val="11"/>
      <color rgb="FFFF0000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11"/>
      <name val="HGｺﾞｼｯｸM"/>
      <family val="3"/>
      <charset val="128"/>
    </font>
    <font>
      <sz val="9"/>
      <name val="HG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9" fillId="0" borderId="0" xfId="0" applyFo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NumberFormat="1" applyFo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right" vertical="center"/>
    </xf>
    <xf numFmtId="0" fontId="1" fillId="0" borderId="0" xfId="0" applyNumberFormat="1" applyFont="1" applyFill="1" applyAlignment="1">
      <alignment horizontal="right" vertical="center"/>
    </xf>
    <xf numFmtId="0" fontId="1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38" fontId="1" fillId="0" borderId="17" xfId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38" fontId="1" fillId="0" borderId="3" xfId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22" xfId="0" applyFont="1" applyFill="1" applyBorder="1" applyAlignment="1">
      <alignment horizontal="distributed" vertical="center"/>
    </xf>
    <xf numFmtId="180" fontId="1" fillId="0" borderId="21" xfId="0" applyNumberFormat="1" applyFont="1" applyFill="1" applyBorder="1">
      <alignment vertical="center"/>
    </xf>
    <xf numFmtId="180" fontId="1" fillId="0" borderId="4" xfId="0" applyNumberFormat="1" applyFont="1" applyFill="1" applyBorder="1">
      <alignment vertical="center"/>
    </xf>
    <xf numFmtId="180" fontId="1" fillId="0" borderId="22" xfId="0" applyNumberFormat="1" applyFont="1" applyFill="1" applyBorder="1">
      <alignment vertical="center"/>
    </xf>
    <xf numFmtId="180" fontId="1" fillId="0" borderId="23" xfId="0" applyNumberFormat="1" applyFont="1" applyFill="1" applyBorder="1">
      <alignment vertical="center"/>
    </xf>
    <xf numFmtId="0" fontId="1" fillId="0" borderId="23" xfId="0" applyFont="1" applyFill="1" applyBorder="1">
      <alignment vertical="center"/>
    </xf>
    <xf numFmtId="0" fontId="1" fillId="0" borderId="15" xfId="0" applyFont="1" applyFill="1" applyBorder="1" applyAlignment="1">
      <alignment horizontal="distributed" vertical="center"/>
    </xf>
    <xf numFmtId="179" fontId="1" fillId="0" borderId="18" xfId="0" applyNumberFormat="1" applyFont="1" applyFill="1" applyBorder="1" applyAlignment="1">
      <alignment horizontal="right" vertical="center"/>
    </xf>
    <xf numFmtId="179" fontId="1" fillId="0" borderId="19" xfId="0" applyNumberFormat="1" applyFont="1" applyFill="1" applyBorder="1" applyAlignment="1">
      <alignment horizontal="right" vertical="center"/>
    </xf>
    <xf numFmtId="179" fontId="1" fillId="0" borderId="20" xfId="0" applyNumberFormat="1" applyFont="1" applyFill="1" applyBorder="1" applyAlignment="1">
      <alignment horizontal="right" vertical="center"/>
    </xf>
    <xf numFmtId="179" fontId="1" fillId="0" borderId="3" xfId="0" applyNumberFormat="1" applyFont="1" applyFill="1" applyBorder="1" applyAlignment="1">
      <alignment horizontal="right" vertical="center"/>
    </xf>
    <xf numFmtId="179" fontId="1" fillId="0" borderId="1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Alignment="1">
      <alignment horizontal="right" vertical="center"/>
    </xf>
    <xf numFmtId="0" fontId="12" fillId="0" borderId="0" xfId="0" applyFont="1" applyFill="1">
      <alignment vertical="center"/>
    </xf>
    <xf numFmtId="0" fontId="12" fillId="0" borderId="0" xfId="0" applyNumberFormat="1" applyFont="1" applyFill="1">
      <alignment vertical="center"/>
    </xf>
    <xf numFmtId="0" fontId="1" fillId="0" borderId="0" xfId="0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horizontal="right" vertical="center"/>
    </xf>
    <xf numFmtId="179" fontId="1" fillId="0" borderId="0" xfId="0" applyNumberFormat="1" applyFont="1" applyFill="1">
      <alignment vertical="center"/>
    </xf>
    <xf numFmtId="179" fontId="1" fillId="0" borderId="15" xfId="0" applyNumberFormat="1" applyFont="1" applyFill="1" applyBorder="1" applyAlignment="1">
      <alignment horizontal="center" vertical="center"/>
    </xf>
    <xf numFmtId="179" fontId="1" fillId="0" borderId="14" xfId="0" applyNumberFormat="1" applyFont="1" applyFill="1" applyBorder="1">
      <alignment vertical="center"/>
    </xf>
    <xf numFmtId="179" fontId="1" fillId="0" borderId="5" xfId="0" applyNumberFormat="1" applyFont="1" applyFill="1" applyBorder="1">
      <alignment vertical="center"/>
    </xf>
    <xf numFmtId="179" fontId="1" fillId="0" borderId="29" xfId="0" applyNumberFormat="1" applyFont="1" applyFill="1" applyBorder="1">
      <alignment vertical="center"/>
    </xf>
    <xf numFmtId="179" fontId="1" fillId="0" borderId="16" xfId="0" applyNumberFormat="1" applyFont="1" applyFill="1" applyBorder="1">
      <alignment vertical="center"/>
    </xf>
    <xf numFmtId="180" fontId="1" fillId="0" borderId="4" xfId="0" applyNumberFormat="1" applyFont="1" applyFill="1" applyBorder="1" applyAlignment="1">
      <alignment horizontal="right" vertical="center"/>
    </xf>
    <xf numFmtId="180" fontId="1" fillId="0" borderId="7" xfId="0" applyNumberFormat="1" applyFont="1" applyFill="1" applyBorder="1">
      <alignment vertical="center"/>
    </xf>
    <xf numFmtId="180" fontId="1" fillId="0" borderId="0" xfId="0" applyNumberFormat="1" applyFont="1" applyFill="1">
      <alignment vertical="center"/>
    </xf>
    <xf numFmtId="179" fontId="1" fillId="0" borderId="30" xfId="0" applyNumberFormat="1" applyFont="1" applyFill="1" applyBorder="1">
      <alignment vertical="center"/>
    </xf>
    <xf numFmtId="179" fontId="1" fillId="0" borderId="31" xfId="0" applyNumberFormat="1" applyFont="1" applyFill="1" applyBorder="1">
      <alignment vertical="center"/>
    </xf>
    <xf numFmtId="179" fontId="1" fillId="0" borderId="32" xfId="0" applyNumberFormat="1" applyFont="1" applyFill="1" applyBorder="1">
      <alignment vertical="center"/>
    </xf>
    <xf numFmtId="181" fontId="1" fillId="0" borderId="0" xfId="0" applyNumberFormat="1" applyFont="1" applyFill="1">
      <alignment vertical="center"/>
    </xf>
    <xf numFmtId="180" fontId="1" fillId="0" borderId="21" xfId="0" applyNumberFormat="1" applyFont="1" applyFill="1" applyBorder="1" applyAlignment="1">
      <alignment horizontal="right" vertical="center"/>
    </xf>
    <xf numFmtId="38" fontId="1" fillId="0" borderId="23" xfId="1" applyFont="1" applyFill="1" applyBorder="1" applyAlignment="1">
      <alignment horizontal="right" vertical="center"/>
    </xf>
    <xf numFmtId="180" fontId="1" fillId="0" borderId="7" xfId="0" applyNumberFormat="1" applyFont="1" applyFill="1" applyBorder="1" applyAlignment="1">
      <alignment horizontal="right" vertical="center"/>
    </xf>
    <xf numFmtId="179" fontId="1" fillId="0" borderId="24" xfId="0" applyNumberFormat="1" applyFont="1" applyFill="1" applyBorder="1">
      <alignment vertical="center"/>
    </xf>
    <xf numFmtId="179" fontId="1" fillId="0" borderId="25" xfId="0" applyNumberFormat="1" applyFont="1" applyFill="1" applyBorder="1">
      <alignment vertical="center"/>
    </xf>
    <xf numFmtId="179" fontId="1" fillId="0" borderId="26" xfId="0" applyNumberFormat="1" applyFont="1" applyFill="1" applyBorder="1">
      <alignment vertical="center"/>
    </xf>
    <xf numFmtId="179" fontId="1" fillId="0" borderId="0" xfId="0" applyNumberFormat="1" applyFont="1" applyFill="1" applyBorder="1">
      <alignment vertical="center"/>
    </xf>
    <xf numFmtId="0" fontId="1" fillId="0" borderId="21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1" fillId="0" borderId="22" xfId="0" applyFont="1" applyFill="1" applyBorder="1">
      <alignment vertical="center"/>
    </xf>
    <xf numFmtId="179" fontId="1" fillId="0" borderId="14" xfId="0" applyNumberFormat="1" applyFont="1" applyFill="1" applyBorder="1" applyAlignment="1">
      <alignment horizontal="right" vertical="center"/>
    </xf>
    <xf numFmtId="179" fontId="1" fillId="0" borderId="5" xfId="0" applyNumberFormat="1" applyFont="1" applyFill="1" applyBorder="1" applyAlignment="1">
      <alignment horizontal="right" vertical="center"/>
    </xf>
    <xf numFmtId="179" fontId="1" fillId="0" borderId="29" xfId="0" applyNumberFormat="1" applyFont="1" applyFill="1" applyBorder="1" applyAlignment="1">
      <alignment horizontal="right" vertical="center"/>
    </xf>
    <xf numFmtId="179" fontId="1" fillId="0" borderId="16" xfId="0" applyNumberFormat="1" applyFont="1" applyFill="1" applyBorder="1" applyAlignment="1">
      <alignment horizontal="right" vertical="center"/>
    </xf>
    <xf numFmtId="0" fontId="1" fillId="0" borderId="25" xfId="0" applyFont="1" applyFill="1" applyBorder="1" applyAlignment="1">
      <alignment horizontal="distributed" vertical="center"/>
    </xf>
    <xf numFmtId="0" fontId="1" fillId="0" borderId="7" xfId="0" applyFont="1" applyFill="1" applyBorder="1">
      <alignment vertical="center"/>
    </xf>
    <xf numFmtId="0" fontId="1" fillId="0" borderId="28" xfId="0" applyFont="1" applyFill="1" applyBorder="1" applyAlignment="1">
      <alignment horizontal="distributed" vertical="center"/>
    </xf>
    <xf numFmtId="0" fontId="1" fillId="0" borderId="6" xfId="0" applyFont="1" applyFill="1" applyBorder="1">
      <alignment vertical="center"/>
    </xf>
    <xf numFmtId="181" fontId="1" fillId="0" borderId="0" xfId="0" applyNumberFormat="1" applyFont="1" applyFill="1" applyBorder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184" fontId="1" fillId="0" borderId="0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184" fontId="1" fillId="0" borderId="0" xfId="0" applyNumberFormat="1" applyFont="1" applyFill="1" applyBorder="1" applyAlignment="1">
      <alignment horizontal="center" vertical="center"/>
    </xf>
    <xf numFmtId="38" fontId="1" fillId="0" borderId="21" xfId="1" applyFont="1" applyFill="1" applyBorder="1">
      <alignment vertical="center"/>
    </xf>
    <xf numFmtId="38" fontId="1" fillId="0" borderId="23" xfId="1" applyFont="1" applyFill="1" applyBorder="1">
      <alignment vertical="center"/>
    </xf>
    <xf numFmtId="38" fontId="1" fillId="0" borderId="21" xfId="0" applyNumberFormat="1" applyFont="1" applyFill="1" applyBorder="1">
      <alignment vertical="center"/>
    </xf>
    <xf numFmtId="38" fontId="1" fillId="0" borderId="4" xfId="0" applyNumberFormat="1" applyFont="1" applyFill="1" applyBorder="1">
      <alignment vertical="center"/>
    </xf>
    <xf numFmtId="38" fontId="1" fillId="0" borderId="22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180" fontId="1" fillId="0" borderId="6" xfId="0" applyNumberFormat="1" applyFont="1" applyFill="1" applyBorder="1">
      <alignment vertical="center"/>
    </xf>
    <xf numFmtId="0" fontId="16" fillId="0" borderId="0" xfId="0" applyFont="1" applyFill="1">
      <alignment vertical="center"/>
    </xf>
    <xf numFmtId="0" fontId="1" fillId="0" borderId="33" xfId="0" applyFont="1" applyFill="1" applyBorder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shrinkToFit="1"/>
    </xf>
    <xf numFmtId="181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  <xf numFmtId="179" fontId="1" fillId="0" borderId="14" xfId="0" applyNumberFormat="1" applyFont="1" applyFill="1" applyBorder="1" applyAlignment="1">
      <alignment vertical="center"/>
    </xf>
    <xf numFmtId="179" fontId="1" fillId="0" borderId="5" xfId="0" applyNumberFormat="1" applyFont="1" applyFill="1" applyBorder="1" applyAlignment="1">
      <alignment vertical="center"/>
    </xf>
    <xf numFmtId="179" fontId="1" fillId="0" borderId="29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17" fillId="0" borderId="0" xfId="0" applyNumberFormat="1" applyFont="1" applyFill="1">
      <alignment vertical="center"/>
    </xf>
    <xf numFmtId="180" fontId="1" fillId="0" borderId="0" xfId="0" applyNumberFormat="1" applyFont="1" applyFill="1" applyBorder="1" applyAlignment="1">
      <alignment vertical="center" wrapText="1"/>
    </xf>
    <xf numFmtId="180" fontId="1" fillId="0" borderId="0" xfId="0" applyNumberFormat="1" applyFont="1" applyFill="1" applyBorder="1">
      <alignment vertical="center"/>
    </xf>
    <xf numFmtId="180" fontId="1" fillId="0" borderId="36" xfId="0" applyNumberFormat="1" applyFont="1" applyFill="1" applyBorder="1">
      <alignment vertical="center"/>
    </xf>
    <xf numFmtId="181" fontId="1" fillId="0" borderId="0" xfId="0" applyNumberFormat="1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181" fontId="1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182" fontId="1" fillId="0" borderId="0" xfId="0" applyNumberFormat="1" applyFont="1" applyFill="1">
      <alignment vertical="center"/>
    </xf>
    <xf numFmtId="0" fontId="9" fillId="0" borderId="0" xfId="0" applyFont="1" applyFill="1" applyBorder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179" fontId="1" fillId="0" borderId="0" xfId="0" applyNumberFormat="1" applyFont="1" applyFill="1" applyBorder="1" applyAlignment="1">
      <alignment horizontal="center"/>
    </xf>
    <xf numFmtId="183" fontId="1" fillId="0" borderId="0" xfId="0" applyNumberFormat="1" applyFont="1" applyFill="1" applyBorder="1">
      <alignment vertical="center"/>
    </xf>
    <xf numFmtId="180" fontId="1" fillId="0" borderId="0" xfId="0" applyNumberFormat="1" applyFont="1" applyFill="1" applyBorder="1" applyAlignment="1">
      <alignment horizontal="center"/>
    </xf>
    <xf numFmtId="0" fontId="1" fillId="0" borderId="36" xfId="0" applyFont="1" applyFill="1" applyBorder="1">
      <alignment vertical="center"/>
    </xf>
    <xf numFmtId="179" fontId="1" fillId="0" borderId="0" xfId="0" applyNumberFormat="1" applyFont="1" applyFill="1" applyBorder="1" applyAlignment="1">
      <alignment vertical="center" shrinkToFit="1"/>
    </xf>
    <xf numFmtId="179" fontId="1" fillId="0" borderId="0" xfId="0" applyNumberFormat="1" applyFont="1" applyFill="1" applyBorder="1" applyAlignment="1">
      <alignment horizontal="center" shrinkToFit="1"/>
    </xf>
    <xf numFmtId="0" fontId="1" fillId="0" borderId="0" xfId="0" applyNumberFormat="1" applyFont="1" applyFill="1" applyBorder="1" applyAlignment="1">
      <alignment vertical="center" shrinkToFit="1"/>
    </xf>
    <xf numFmtId="0" fontId="1" fillId="0" borderId="0" xfId="0" applyNumberFormat="1" applyFont="1" applyFill="1" applyBorder="1" applyAlignment="1">
      <alignment horizontal="center" shrinkToFit="1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4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distributed" vertical="center"/>
    </xf>
    <xf numFmtId="185" fontId="1" fillId="0" borderId="13" xfId="0" applyNumberFormat="1" applyFont="1" applyFill="1" applyBorder="1">
      <alignment vertical="center"/>
    </xf>
    <xf numFmtId="185" fontId="1" fillId="0" borderId="30" xfId="0" applyNumberFormat="1" applyFont="1" applyFill="1" applyBorder="1">
      <alignment vertical="center"/>
    </xf>
    <xf numFmtId="185" fontId="1" fillId="0" borderId="31" xfId="0" applyNumberFormat="1" applyFont="1" applyFill="1" applyBorder="1">
      <alignment vertical="center"/>
    </xf>
    <xf numFmtId="185" fontId="1" fillId="0" borderId="32" xfId="0" applyNumberFormat="1" applyFont="1" applyFill="1" applyBorder="1">
      <alignment vertical="center"/>
    </xf>
    <xf numFmtId="185" fontId="1" fillId="0" borderId="5" xfId="0" applyNumberFormat="1" applyFont="1" applyFill="1" applyBorder="1">
      <alignment vertical="center"/>
    </xf>
    <xf numFmtId="185" fontId="1" fillId="0" borderId="14" xfId="0" applyNumberFormat="1" applyFont="1" applyFill="1" applyBorder="1">
      <alignment vertical="center"/>
    </xf>
    <xf numFmtId="185" fontId="1" fillId="0" borderId="16" xfId="0" applyNumberFormat="1" applyFont="1" applyFill="1" applyBorder="1">
      <alignment vertical="center"/>
    </xf>
    <xf numFmtId="185" fontId="1" fillId="0" borderId="0" xfId="0" applyNumberFormat="1" applyFont="1" applyFill="1" applyBorder="1">
      <alignment vertical="center"/>
    </xf>
    <xf numFmtId="180" fontId="1" fillId="2" borderId="0" xfId="0" applyNumberFormat="1" applyFont="1" applyFill="1" applyBorder="1">
      <alignment vertical="center"/>
    </xf>
    <xf numFmtId="38" fontId="1" fillId="2" borderId="0" xfId="1" applyFont="1" applyFill="1" applyBorder="1">
      <alignment vertical="center"/>
    </xf>
    <xf numFmtId="180" fontId="1" fillId="0" borderId="0" xfId="0" applyNumberFormat="1" applyFont="1" applyFill="1" applyBorder="1" applyAlignment="1">
      <alignment vertical="center" shrinkToFit="1"/>
    </xf>
    <xf numFmtId="180" fontId="1" fillId="3" borderId="0" xfId="0" applyNumberFormat="1" applyFont="1" applyFill="1" applyBorder="1" applyAlignment="1">
      <alignment vertical="center" shrinkToFit="1"/>
    </xf>
    <xf numFmtId="179" fontId="1" fillId="3" borderId="0" xfId="0" applyNumberFormat="1" applyFont="1" applyFill="1" applyBorder="1" applyAlignment="1">
      <alignment vertical="center" shrinkToFit="1"/>
    </xf>
    <xf numFmtId="180" fontId="1" fillId="4" borderId="0" xfId="0" applyNumberFormat="1" applyFont="1" applyFill="1" applyBorder="1" applyAlignment="1">
      <alignment vertical="center" shrinkToFit="1"/>
    </xf>
    <xf numFmtId="179" fontId="1" fillId="4" borderId="0" xfId="0" applyNumberFormat="1" applyFont="1" applyFill="1" applyBorder="1" applyAlignment="1">
      <alignment vertical="center" shrinkToFit="1"/>
    </xf>
    <xf numFmtId="180" fontId="1" fillId="4" borderId="0" xfId="0" applyNumberFormat="1" applyFont="1" applyFill="1" applyBorder="1">
      <alignment vertical="center"/>
    </xf>
    <xf numFmtId="180" fontId="1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185" fontId="1" fillId="0" borderId="12" xfId="0" applyNumberFormat="1" applyFont="1" applyFill="1" applyBorder="1">
      <alignment vertical="center"/>
    </xf>
    <xf numFmtId="38" fontId="1" fillId="0" borderId="4" xfId="1" applyFont="1" applyFill="1" applyBorder="1">
      <alignment vertical="center"/>
    </xf>
    <xf numFmtId="38" fontId="1" fillId="0" borderId="1" xfId="1" applyFont="1" applyFill="1" applyBorder="1" applyAlignment="1">
      <alignment horizontal="right" vertical="center"/>
    </xf>
    <xf numFmtId="38" fontId="1" fillId="0" borderId="15" xfId="1" applyFont="1" applyFill="1" applyBorder="1" applyAlignment="1">
      <alignment horizontal="right" vertical="center"/>
    </xf>
    <xf numFmtId="38" fontId="1" fillId="0" borderId="22" xfId="1" applyFont="1" applyFill="1" applyBorder="1">
      <alignment vertical="center"/>
    </xf>
    <xf numFmtId="38" fontId="1" fillId="0" borderId="21" xfId="1" applyFont="1" applyFill="1" applyBorder="1" applyAlignment="1">
      <alignment horizontal="center" vertical="center"/>
    </xf>
    <xf numFmtId="38" fontId="1" fillId="0" borderId="4" xfId="1" applyFont="1" applyFill="1" applyBorder="1" applyAlignment="1">
      <alignment horizontal="center" vertical="center"/>
    </xf>
    <xf numFmtId="38" fontId="1" fillId="0" borderId="22" xfId="1" applyFont="1" applyFill="1" applyBorder="1" applyAlignment="1">
      <alignment horizontal="center" vertical="center"/>
    </xf>
    <xf numFmtId="185" fontId="1" fillId="0" borderId="37" xfId="0" applyNumberFormat="1" applyFont="1" applyFill="1" applyBorder="1">
      <alignment vertical="center"/>
    </xf>
    <xf numFmtId="185" fontId="1" fillId="0" borderId="34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distributed" vertical="center" wrapTex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7" fillId="0" borderId="0" xfId="0" applyFont="1" applyFill="1" applyBorder="1" applyAlignment="1">
      <alignment horizontal="center" vertical="center"/>
    </xf>
    <xf numFmtId="181" fontId="17" fillId="0" borderId="0" xfId="0" applyNumberFormat="1" applyFont="1" applyFill="1" applyBorder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180" fontId="1" fillId="0" borderId="0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shrinkToFit="1"/>
    </xf>
    <xf numFmtId="180" fontId="1" fillId="0" borderId="4" xfId="0" applyNumberFormat="1" applyFont="1" applyFill="1" applyBorder="1" applyAlignment="1">
      <alignment horizontal="center" vertical="center"/>
    </xf>
    <xf numFmtId="180" fontId="1" fillId="0" borderId="5" xfId="0" applyNumberFormat="1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180" fontId="1" fillId="0" borderId="22" xfId="0" applyNumberFormat="1" applyFont="1" applyFill="1" applyBorder="1" applyAlignment="1">
      <alignment horizontal="center" vertical="center"/>
    </xf>
    <xf numFmtId="180" fontId="1" fillId="0" borderId="29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distributed" vertical="center"/>
    </xf>
    <xf numFmtId="0" fontId="1" fillId="0" borderId="33" xfId="0" applyFont="1" applyFill="1" applyBorder="1" applyAlignment="1">
      <alignment horizontal="distributed" vertical="center"/>
    </xf>
    <xf numFmtId="0" fontId="1" fillId="0" borderId="12" xfId="0" applyFont="1" applyFill="1" applyBorder="1" applyAlignment="1">
      <alignment horizontal="distributed" vertical="center"/>
    </xf>
    <xf numFmtId="0" fontId="1" fillId="0" borderId="13" xfId="0" applyFont="1" applyFill="1" applyBorder="1" applyAlignment="1">
      <alignment horizontal="distributed" vertical="center"/>
    </xf>
    <xf numFmtId="0" fontId="1" fillId="0" borderId="35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left" vertical="center" shrinkToFit="1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179" fontId="1" fillId="0" borderId="27" xfId="0" applyNumberFormat="1" applyFont="1" applyFill="1" applyBorder="1" applyAlignment="1">
      <alignment horizontal="center" vertical="center"/>
    </xf>
    <xf numFmtId="179" fontId="1" fillId="0" borderId="16" xfId="0" applyNumberFormat="1" applyFont="1" applyFill="1" applyBorder="1" applyAlignment="1">
      <alignment horizontal="center" vertical="center"/>
    </xf>
    <xf numFmtId="179" fontId="1" fillId="0" borderId="25" xfId="0" applyNumberFormat="1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79" fontId="1" fillId="0" borderId="23" xfId="0" applyNumberFormat="1" applyFont="1" applyFill="1" applyBorder="1" applyAlignment="1">
      <alignment horizontal="center" vertical="center"/>
    </xf>
    <xf numFmtId="179" fontId="1" fillId="0" borderId="4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distributed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shrinkToFit="1"/>
    </xf>
    <xf numFmtId="0" fontId="1" fillId="0" borderId="11" xfId="0" applyFont="1" applyFill="1" applyBorder="1" applyAlignment="1">
      <alignment horizontal="left" vertical="center" shrinkToFit="1"/>
    </xf>
    <xf numFmtId="0" fontId="1" fillId="0" borderId="3" xfId="0" applyFont="1" applyFill="1" applyBorder="1" applyAlignment="1">
      <alignment horizontal="left" vertical="center" shrinkToFi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distributed" vertical="center"/>
    </xf>
    <xf numFmtId="0" fontId="1" fillId="0" borderId="11" xfId="0" applyFont="1" applyFill="1" applyBorder="1" applyAlignment="1">
      <alignment horizontal="distributed" vertical="center"/>
    </xf>
    <xf numFmtId="0" fontId="1" fillId="0" borderId="2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" fillId="0" borderId="28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0" fontId="7" fillId="0" borderId="6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distributed" vertical="center"/>
    </xf>
    <xf numFmtId="0" fontId="7" fillId="0" borderId="12" xfId="0" applyFont="1" applyFill="1" applyBorder="1" applyAlignment="1">
      <alignment horizontal="distributed" vertical="center"/>
    </xf>
    <xf numFmtId="0" fontId="7" fillId="0" borderId="13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12" xfId="0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distributed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distributed" vertical="center"/>
    </xf>
    <xf numFmtId="0" fontId="6" fillId="0" borderId="35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distributed" vertical="center" wrapText="1"/>
    </xf>
    <xf numFmtId="0" fontId="1" fillId="0" borderId="33" xfId="0" applyFont="1" applyFill="1" applyBorder="1" applyAlignment="1">
      <alignment horizontal="distributed" vertical="center" wrapText="1"/>
    </xf>
    <xf numFmtId="0" fontId="1" fillId="0" borderId="12" xfId="0" applyFont="1" applyFill="1" applyBorder="1" applyAlignment="1">
      <alignment horizontal="distributed" vertical="center" wrapText="1"/>
    </xf>
    <xf numFmtId="0" fontId="1" fillId="0" borderId="13" xfId="0" applyFont="1" applyFill="1" applyBorder="1" applyAlignment="1">
      <alignment horizontal="distributed" vertical="center" wrapText="1"/>
    </xf>
    <xf numFmtId="0" fontId="1" fillId="0" borderId="35" xfId="0" applyFont="1" applyFill="1" applyBorder="1" applyAlignment="1">
      <alignment horizontal="distributed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33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3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18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7" fillId="0" borderId="0" xfId="0" applyFont="1" applyFill="1" applyAlignment="1">
      <alignment vertical="center"/>
    </xf>
    <xf numFmtId="0" fontId="17" fillId="0" borderId="0" xfId="0" applyNumberFormat="1" applyFont="1" applyFill="1" applyAlignment="1">
      <alignment vertical="center"/>
    </xf>
    <xf numFmtId="0" fontId="17" fillId="0" borderId="0" xfId="0" applyFont="1">
      <alignment vertical="center"/>
    </xf>
    <xf numFmtId="0" fontId="1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distributed"/>
    </xf>
    <xf numFmtId="182" fontId="1" fillId="0" borderId="0" xfId="0" applyNumberFormat="1" applyFont="1" applyFill="1" applyBorder="1">
      <alignment vertical="center"/>
    </xf>
    <xf numFmtId="182" fontId="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NumberFormat="1" applyFont="1" applyBorder="1">
      <alignment vertical="center"/>
    </xf>
    <xf numFmtId="179" fontId="1" fillId="0" borderId="0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180" fontId="1" fillId="0" borderId="0" xfId="0" applyNumberFormat="1" applyFont="1" applyFill="1" applyBorder="1" applyAlignment="1">
      <alignment vertical="center"/>
    </xf>
    <xf numFmtId="183" fontId="1" fillId="0" borderId="0" xfId="0" applyNumberFormat="1" applyFont="1" applyFill="1" applyBorder="1" applyAlignment="1">
      <alignment horizontal="center"/>
    </xf>
    <xf numFmtId="180" fontId="1" fillId="0" borderId="0" xfId="0" applyNumberFormat="1" applyFont="1" applyFill="1" applyBorder="1" applyAlignment="1">
      <alignment horizontal="center" vertical="center" shrinkToFit="1"/>
    </xf>
    <xf numFmtId="179" fontId="1" fillId="2" borderId="0" xfId="0" applyNumberFormat="1" applyFont="1" applyFill="1" applyBorder="1" applyAlignment="1">
      <alignment vertical="center" shrinkToFit="1"/>
    </xf>
    <xf numFmtId="38" fontId="1" fillId="0" borderId="0" xfId="1" applyFont="1" applyFill="1" applyBorder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 shrinkToFit="1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>
      <alignment vertical="center"/>
    </xf>
    <xf numFmtId="180" fontId="1" fillId="3" borderId="0" xfId="0" applyNumberFormat="1" applyFont="1" applyFill="1" applyBorder="1">
      <alignment vertical="center"/>
    </xf>
    <xf numFmtId="179" fontId="1" fillId="3" borderId="0" xfId="0" applyNumberFormat="1" applyFont="1" applyFill="1" applyBorder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>
      <alignment vertical="center"/>
    </xf>
    <xf numFmtId="179" fontId="1" fillId="4" borderId="0" xfId="0" applyNumberFormat="1" applyFont="1" applyFill="1" applyBorder="1">
      <alignment vertical="center"/>
    </xf>
    <xf numFmtId="180" fontId="1" fillId="4" borderId="0" xfId="0" applyNumberFormat="1" applyFont="1" applyFill="1" applyBorder="1" applyAlignment="1">
      <alignment horizontal="center" vertical="center" shrinkToFit="1"/>
    </xf>
    <xf numFmtId="183" fontId="1" fillId="0" borderId="0" xfId="0" applyNumberFormat="1" applyFont="1" applyFill="1" applyBorder="1" applyAlignment="1">
      <alignment horizontal="center" vertical="center"/>
    </xf>
    <xf numFmtId="183" fontId="1" fillId="4" borderId="0" xfId="0" applyNumberFormat="1" applyFont="1" applyFill="1" applyBorder="1" applyAlignment="1">
      <alignment horizontal="center" vertical="center"/>
    </xf>
    <xf numFmtId="183" fontId="1" fillId="4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>
      <alignment vertical="center"/>
    </xf>
    <xf numFmtId="183" fontId="1" fillId="3" borderId="0" xfId="0" applyNumberFormat="1" applyFont="1" applyFill="1" applyBorder="1" applyAlignment="1">
      <alignment horizontal="center" vertical="center"/>
    </xf>
    <xf numFmtId="183" fontId="1" fillId="3" borderId="0" xfId="0" applyNumberFormat="1" applyFont="1" applyFill="1" applyBorder="1">
      <alignment vertical="center"/>
    </xf>
    <xf numFmtId="180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39F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2" Type="http://schemas.microsoft.com/office/2011/relationships/chartColorStyle" Target="colors1.xml" />
  <Relationship Id="rId1" Type="http://schemas.microsoft.com/office/2011/relationships/chartStyle" Target="style1.xml" />
</Relationships>
</file>

<file path=xl/charts/_rels/chart10.xml.rels>&#65279;<?xml version="1.0" encoding="utf-8" standalone="yes"?>
<Relationships xmlns="http://schemas.openxmlformats.org/package/2006/relationships">
  <Relationship Id="rId2" Type="http://schemas.microsoft.com/office/2011/relationships/chartColorStyle" Target="colors10.xml" />
  <Relationship Id="rId1" Type="http://schemas.microsoft.com/office/2011/relationships/chartStyle" Target="style10.xml" />
</Relationships>
</file>

<file path=xl/charts/_rels/chart11.xml.rels>&#65279;<?xml version="1.0" encoding="utf-8" standalone="yes"?>
<Relationships xmlns="http://schemas.openxmlformats.org/package/2006/relationships">
  <Relationship Id="rId2" Type="http://schemas.microsoft.com/office/2011/relationships/chartColorStyle" Target="colors11.xml" />
  <Relationship Id="rId1" Type="http://schemas.microsoft.com/office/2011/relationships/chartStyle" Target="style11.xml" />
</Relationships>
</file>

<file path=xl/charts/_rels/chart12.xml.rels>&#65279;<?xml version="1.0" encoding="utf-8" standalone="yes"?>
<Relationships xmlns="http://schemas.openxmlformats.org/package/2006/relationships">
  <Relationship Id="rId2" Type="http://schemas.microsoft.com/office/2011/relationships/chartColorStyle" Target="colors12.xml" />
  <Relationship Id="rId1" Type="http://schemas.microsoft.com/office/2011/relationships/chartStyle" Target="style12.xml" />
</Relationships>
</file>

<file path=xl/charts/_rels/chart13.xml.rels>&#65279;<?xml version="1.0" encoding="utf-8" standalone="yes"?>
<Relationships xmlns="http://schemas.openxmlformats.org/package/2006/relationships">
  <Relationship Id="rId2" Type="http://schemas.microsoft.com/office/2011/relationships/chartColorStyle" Target="colors13.xml" />
  <Relationship Id="rId1" Type="http://schemas.microsoft.com/office/2011/relationships/chartStyle" Target="style13.xml" />
</Relationships>
</file>

<file path=xl/charts/_rels/chart14.xml.rels>&#65279;<?xml version="1.0" encoding="utf-8" standalone="yes"?>
<Relationships xmlns="http://schemas.openxmlformats.org/package/2006/relationships">
  <Relationship Id="rId2" Type="http://schemas.microsoft.com/office/2011/relationships/chartColorStyle" Target="colors14.xml" />
  <Relationship Id="rId1" Type="http://schemas.microsoft.com/office/2011/relationships/chartStyle" Target="style14.xml" />
</Relationships>
</file>

<file path=xl/charts/_rels/chart15.xml.rels>&#65279;<?xml version="1.0" encoding="utf-8" standalone="yes"?>
<Relationships xmlns="http://schemas.openxmlformats.org/package/2006/relationships">
  <Relationship Id="rId2" Type="http://schemas.microsoft.com/office/2011/relationships/chartColorStyle" Target="colors15.xml" />
  <Relationship Id="rId1" Type="http://schemas.microsoft.com/office/2011/relationships/chartStyle" Target="style15.xml" />
</Relationships>
</file>

<file path=xl/charts/_rels/chart16.xml.rels>&#65279;<?xml version="1.0" encoding="utf-8" standalone="yes"?>
<Relationships xmlns="http://schemas.openxmlformats.org/package/2006/relationships">
  <Relationship Id="rId2" Type="http://schemas.microsoft.com/office/2011/relationships/chartColorStyle" Target="colors16.xml" />
  <Relationship Id="rId1" Type="http://schemas.microsoft.com/office/2011/relationships/chartStyle" Target="style16.xml" />
</Relationships>
</file>

<file path=xl/charts/_rels/chart17.xml.rels>&#65279;<?xml version="1.0" encoding="utf-8" standalone="yes"?>
<Relationships xmlns="http://schemas.openxmlformats.org/package/2006/relationships">
  <Relationship Id="rId2" Type="http://schemas.microsoft.com/office/2011/relationships/chartColorStyle" Target="colors17.xml" />
  <Relationship Id="rId1" Type="http://schemas.microsoft.com/office/2011/relationships/chartStyle" Target="style17.xml" />
</Relationships>
</file>

<file path=xl/charts/_rels/chart18.xml.rels>&#65279;<?xml version="1.0" encoding="utf-8" standalone="yes"?>
<Relationships xmlns="http://schemas.openxmlformats.org/package/2006/relationships">
  <Relationship Id="rId2" Type="http://schemas.microsoft.com/office/2011/relationships/chartColorStyle" Target="colors18.xml" />
  <Relationship Id="rId1" Type="http://schemas.microsoft.com/office/2011/relationships/chartStyle" Target="style18.xml" />
</Relationships>
</file>

<file path=xl/charts/_rels/chart19.xml.rels>&#65279;<?xml version="1.0" encoding="utf-8" standalone="yes"?>
<Relationships xmlns="http://schemas.openxmlformats.org/package/2006/relationships">
  <Relationship Id="rId2" Type="http://schemas.microsoft.com/office/2011/relationships/chartColorStyle" Target="colors19.xml" />
  <Relationship Id="rId1" Type="http://schemas.microsoft.com/office/2011/relationships/chartStyle" Target="style19.xml" />
</Relationships>
</file>

<file path=xl/charts/_rels/chart2.xml.rels>&#65279;<?xml version="1.0" encoding="utf-8" standalone="yes"?>
<Relationships xmlns="http://schemas.openxmlformats.org/package/2006/relationships">
  <Relationship Id="rId2" Type="http://schemas.microsoft.com/office/2011/relationships/chartColorStyle" Target="colors2.xml" />
  <Relationship Id="rId1" Type="http://schemas.microsoft.com/office/2011/relationships/chartStyle" Target="style2.xml" />
</Relationships>
</file>

<file path=xl/charts/_rels/chart20.xml.rels>&#65279;<?xml version="1.0" encoding="utf-8" standalone="yes"?>
<Relationships xmlns="http://schemas.openxmlformats.org/package/2006/relationships">
  <Relationship Id="rId2" Type="http://schemas.microsoft.com/office/2011/relationships/chartColorStyle" Target="colors20.xml" />
  <Relationship Id="rId1" Type="http://schemas.microsoft.com/office/2011/relationships/chartStyle" Target="style20.xml" />
</Relationships>
</file>

<file path=xl/charts/_rels/chart21.xml.rels>&#65279;<?xml version="1.0" encoding="utf-8" standalone="yes"?>
<Relationships xmlns="http://schemas.openxmlformats.org/package/2006/relationships">
  <Relationship Id="rId2" Type="http://schemas.microsoft.com/office/2011/relationships/chartColorStyle" Target="colors21.xml" />
  <Relationship Id="rId1" Type="http://schemas.microsoft.com/office/2011/relationships/chartStyle" Target="style21.xml" />
</Relationships>
</file>

<file path=xl/charts/_rels/chart22.xml.rels>&#65279;<?xml version="1.0" encoding="utf-8" standalone="yes"?>
<Relationships xmlns="http://schemas.openxmlformats.org/package/2006/relationships">
  <Relationship Id="rId2" Type="http://schemas.microsoft.com/office/2011/relationships/chartColorStyle" Target="colors22.xml" />
  <Relationship Id="rId1" Type="http://schemas.microsoft.com/office/2011/relationships/chartStyle" Target="style22.xml" />
</Relationships>
</file>

<file path=xl/charts/_rels/chart23.xml.rels>&#65279;<?xml version="1.0" encoding="utf-8" standalone="yes"?>
<Relationships xmlns="http://schemas.openxmlformats.org/package/2006/relationships">
  <Relationship Id="rId2" Type="http://schemas.microsoft.com/office/2011/relationships/chartColorStyle" Target="colors23.xml" />
  <Relationship Id="rId1" Type="http://schemas.microsoft.com/office/2011/relationships/chartStyle" Target="style23.xml" />
</Relationships>
</file>

<file path=xl/charts/_rels/chart24.xml.rels>&#65279;<?xml version="1.0" encoding="utf-8" standalone="yes"?>
<Relationships xmlns="http://schemas.openxmlformats.org/package/2006/relationships">
  <Relationship Id="rId2" Type="http://schemas.microsoft.com/office/2011/relationships/chartColorStyle" Target="colors24.xml" />
  <Relationship Id="rId1" Type="http://schemas.microsoft.com/office/2011/relationships/chartStyle" Target="style24.xml" />
</Relationships>
</file>

<file path=xl/charts/_rels/chart25.xml.rels>&#65279;<?xml version="1.0" encoding="utf-8" standalone="yes"?>
<Relationships xmlns="http://schemas.openxmlformats.org/package/2006/relationships">
  <Relationship Id="rId2" Type="http://schemas.microsoft.com/office/2011/relationships/chartColorStyle" Target="colors25.xml" />
  <Relationship Id="rId1" Type="http://schemas.microsoft.com/office/2011/relationships/chartStyle" Target="style25.xml" />
</Relationships>
</file>

<file path=xl/charts/_rels/chart3.xml.rels>&#65279;<?xml version="1.0" encoding="utf-8" standalone="yes"?>
<Relationships xmlns="http://schemas.openxmlformats.org/package/2006/relationships">
  <Relationship Id="rId2" Type="http://schemas.microsoft.com/office/2011/relationships/chartColorStyle" Target="colors3.xml" />
  <Relationship Id="rId1" Type="http://schemas.microsoft.com/office/2011/relationships/chartStyle" Target="style3.xml" />
</Relationships>
</file>

<file path=xl/charts/_rels/chart4.xml.rels>&#65279;<?xml version="1.0" encoding="utf-8" standalone="yes"?>
<Relationships xmlns="http://schemas.openxmlformats.org/package/2006/relationships">
  <Relationship Id="rId2" Type="http://schemas.microsoft.com/office/2011/relationships/chartColorStyle" Target="colors4.xml" />
  <Relationship Id="rId1" Type="http://schemas.microsoft.com/office/2011/relationships/chartStyle" Target="style4.xml" />
</Relationships>
</file>

<file path=xl/charts/_rels/chart5.xml.rels>&#65279;<?xml version="1.0" encoding="utf-8" standalone="yes"?>
<Relationships xmlns="http://schemas.openxmlformats.org/package/2006/relationships">
  <Relationship Id="rId2" Type="http://schemas.microsoft.com/office/2011/relationships/chartColorStyle" Target="colors5.xml" />
  <Relationship Id="rId1" Type="http://schemas.microsoft.com/office/2011/relationships/chartStyle" Target="style5.xml" />
</Relationships>
</file>

<file path=xl/charts/_rels/chart6.xml.rels>&#65279;<?xml version="1.0" encoding="utf-8" standalone="yes"?>
<Relationships xmlns="http://schemas.openxmlformats.org/package/2006/relationships">
  <Relationship Id="rId2" Type="http://schemas.microsoft.com/office/2011/relationships/chartColorStyle" Target="colors6.xml" />
  <Relationship Id="rId1" Type="http://schemas.microsoft.com/office/2011/relationships/chartStyle" Target="style6.xml" />
</Relationships>
</file>

<file path=xl/charts/_rels/chart7.xml.rels>&#65279;<?xml version="1.0" encoding="utf-8" standalone="yes"?>
<Relationships xmlns="http://schemas.openxmlformats.org/package/2006/relationships">
  <Relationship Id="rId2" Type="http://schemas.microsoft.com/office/2011/relationships/chartColorStyle" Target="colors7.xml" />
  <Relationship Id="rId1" Type="http://schemas.microsoft.com/office/2011/relationships/chartStyle" Target="style7.xml" />
</Relationships>
</file>

<file path=xl/charts/_rels/chart8.xml.rels>&#65279;<?xml version="1.0" encoding="utf-8" standalone="yes"?>
<Relationships xmlns="http://schemas.openxmlformats.org/package/2006/relationships">
  <Relationship Id="rId2" Type="http://schemas.microsoft.com/office/2011/relationships/chartColorStyle" Target="colors8.xml" />
  <Relationship Id="rId1" Type="http://schemas.microsoft.com/office/2011/relationships/chartStyle" Target="style8.xml" />
</Relationships>
</file>

<file path=xl/charts/_rels/chart9.xml.rels>&#65279;<?xml version="1.0" encoding="utf-8" standalone="yes"?>
<Relationships xmlns="http://schemas.openxmlformats.org/package/2006/relationships">
  <Relationship Id="rId2" Type="http://schemas.microsoft.com/office/2011/relationships/chartColorStyle" Target="colors9.xml" />
  <Relationship Id="rId1" Type="http://schemas.microsoft.com/office/2011/relationships/chartStyle" Target="style9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18810148731409"/>
          <c:y val="0.15138865334140925"/>
          <c:w val="0.57762379702537181"/>
          <c:h val="0.79978679588128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678-4DA5-BE32-7E241E97D3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678-4DA5-BE32-7E241E97D3F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678-4DA5-BE32-7E241E97D3F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678-4DA5-BE32-7E241E97D3F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678-4DA5-BE32-7E241E97D3F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678-4DA5-BE32-7E241E97D3F1}"/>
              </c:ext>
            </c:extLst>
          </c:dPt>
          <c:dLbls>
            <c:dLbl>
              <c:idx val="0"/>
              <c:layout>
                <c:manualLayout>
                  <c:x val="-0.2047739865850102"/>
                  <c:y val="-0.2310168921192543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78-4DA5-BE32-7E241E97D3F1}"/>
                </c:ext>
              </c:extLst>
            </c:dLbl>
            <c:dLbl>
              <c:idx val="1"/>
              <c:layout>
                <c:manualLayout>
                  <c:x val="0.18071274424030329"/>
                  <c:y val="2.47909011373578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678-4DA5-BE32-7E241E97D3F1}"/>
                </c:ext>
              </c:extLst>
            </c:dLbl>
            <c:dLbl>
              <c:idx val="2"/>
              <c:layout>
                <c:manualLayout>
                  <c:x val="-5.4005638184115877E-2"/>
                  <c:y val="8.53050676357762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678-4DA5-BE32-7E241E97D3F1}"/>
                </c:ext>
              </c:extLst>
            </c:dLbl>
            <c:dLbl>
              <c:idx val="3"/>
              <c:layout>
                <c:manualLayout>
                  <c:x val="-7.0836784290852536E-2"/>
                  <c:y val="6.997913722323170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56790123456789"/>
                      <c:h val="0.139316239316239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678-4DA5-BE32-7E241E97D3F1}"/>
                </c:ext>
              </c:extLst>
            </c:dLbl>
            <c:dLbl>
              <c:idx val="4"/>
              <c:layout>
                <c:manualLayout>
                  <c:x val="1.2507850214783192E-2"/>
                  <c:y val="-1.19657663254589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46014487401082"/>
                      <c:h val="0.161538552819167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678-4DA5-BE32-7E241E97D3F1}"/>
                </c:ext>
              </c:extLst>
            </c:dLbl>
            <c:dLbl>
              <c:idx val="5"/>
              <c:layout>
                <c:manualLayout>
                  <c:x val="3.84947020511325E-2"/>
                  <c:y val="0.132397334948516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678-4DA5-BE32-7E241E97D3F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'公表ベース（グラフ付き）'!$T$281:$T$286</c:f>
              <c:strCache>
                <c:ptCount val="6"/>
                <c:pt idx="0">
                  <c:v>大学からの派遣</c:v>
                </c:pt>
                <c:pt idx="1">
                  <c:v>自分から応募</c:v>
                </c:pt>
                <c:pt idx="2">
                  <c:v>大学からの紹介</c:v>
                </c:pt>
                <c:pt idx="3">
                  <c:v>友人などからの紹介</c:v>
                </c:pt>
                <c:pt idx="4">
                  <c:v>医師の就業斡旋を行う
団体・業者等の紹介</c:v>
                </c:pt>
                <c:pt idx="5">
                  <c:v>その他</c:v>
                </c:pt>
              </c:strCache>
            </c:strRef>
          </c:cat>
          <c:val>
            <c:numRef>
              <c:f>'公表ベース（グラフ付き）'!$U$281:$U$286</c:f>
              <c:numCache>
                <c:formatCode>General</c:formatCode>
                <c:ptCount val="6"/>
                <c:pt idx="0">
                  <c:v>477</c:v>
                </c:pt>
                <c:pt idx="1">
                  <c:v>78</c:v>
                </c:pt>
                <c:pt idx="2">
                  <c:v>31</c:v>
                </c:pt>
                <c:pt idx="3">
                  <c:v>25</c:v>
                </c:pt>
                <c:pt idx="4">
                  <c:v>21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678-4DA5-BE32-7E241E97D3F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18810148731409"/>
          <c:y val="0.15138865334140925"/>
          <c:w val="0.57762379702537181"/>
          <c:h val="0.7997867958812841"/>
        </c:manualLayout>
      </c:layout>
      <c:pieChart>
        <c:varyColors val="1"/>
        <c:ser>
          <c:idx val="3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43-4B75-8D05-EB3D80AA4C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43-4B75-8D05-EB3D80AA4C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43-4B75-8D05-EB3D80AA4C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43-4B75-8D05-EB3D80AA4C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43-4B75-8D05-EB3D80AA4C12}"/>
              </c:ext>
            </c:extLst>
          </c:dPt>
          <c:dLbls>
            <c:dLbl>
              <c:idx val="0"/>
              <c:layout>
                <c:manualLayout>
                  <c:x val="-0.12098543400896274"/>
                  <c:y val="0.167035966991559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F43-4B75-8D05-EB3D80AA4C12}"/>
                </c:ext>
              </c:extLst>
            </c:dLbl>
            <c:dLbl>
              <c:idx val="1"/>
              <c:layout>
                <c:manualLayout>
                  <c:x val="4.9078851775770989E-2"/>
                  <c:y val="-0.189529366419011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F43-4B75-8D05-EB3D80AA4C12}"/>
                </c:ext>
              </c:extLst>
            </c:dLbl>
            <c:dLbl>
              <c:idx val="2"/>
              <c:layout>
                <c:manualLayout>
                  <c:x val="0.15255775161424051"/>
                  <c:y val="0.167892355123034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F43-4B75-8D05-EB3D80AA4C1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'公表ベース（グラフ付き）'!$T$477:$T$480</c:f>
              <c:strCache>
                <c:ptCount val="4"/>
                <c:pt idx="0">
                  <c:v>満足</c:v>
                </c:pt>
                <c:pt idx="1">
                  <c:v>どちらかと
いうと満足</c:v>
                </c:pt>
                <c:pt idx="2">
                  <c:v>どちらかと
いうと不満</c:v>
                </c:pt>
                <c:pt idx="3">
                  <c:v>不満</c:v>
                </c:pt>
              </c:strCache>
            </c:strRef>
          </c:cat>
          <c:val>
            <c:numRef>
              <c:f>'公表ベース（グラフ付き）'!$U$477:$U$480</c:f>
              <c:numCache>
                <c:formatCode>General</c:formatCode>
                <c:ptCount val="4"/>
                <c:pt idx="0">
                  <c:v>177</c:v>
                </c:pt>
                <c:pt idx="1">
                  <c:v>337</c:v>
                </c:pt>
                <c:pt idx="2">
                  <c:v>112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F43-4B75-8D05-EB3D80AA4C1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18810148731409"/>
          <c:y val="0.15138865334140925"/>
          <c:w val="0.57762379702537181"/>
          <c:h val="0.7997867958812841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456-49C3-8D47-A03BBCFF12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456-49C3-8D47-A03BBCFF12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456-49C3-8D47-A03BBCFF12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456-49C3-8D47-A03BBCFF1256}"/>
              </c:ext>
            </c:extLst>
          </c:dPt>
          <c:dLbls>
            <c:dLbl>
              <c:idx val="0"/>
              <c:layout>
                <c:manualLayout>
                  <c:x val="-0.11113330815663515"/>
                  <c:y val="0.184712009512952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456-49C3-8D47-A03BBCFF1256}"/>
                </c:ext>
              </c:extLst>
            </c:dLbl>
            <c:dLbl>
              <c:idx val="1"/>
              <c:layout>
                <c:manualLayout>
                  <c:x val="3.1563107820572478E-2"/>
                  <c:y val="-0.209203180468082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456-49C3-8D47-A03BBCFF1256}"/>
                </c:ext>
              </c:extLst>
            </c:dLbl>
            <c:dLbl>
              <c:idx val="2"/>
              <c:layout>
                <c:manualLayout>
                  <c:x val="0.1661428355276835"/>
                  <c:y val="0.183822872022167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456-49C3-8D47-A03BBCFF1256}"/>
                </c:ext>
              </c:extLst>
            </c:dLbl>
            <c:dLbl>
              <c:idx val="3"/>
              <c:layout>
                <c:manualLayout>
                  <c:x val="1.5898223812646002E-2"/>
                  <c:y val="2.33530406373494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456-49C3-8D47-A03BBCFF12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'公表ベース（グラフ付き）'!$T$493:$T$496</c:f>
              <c:strCache>
                <c:ptCount val="4"/>
                <c:pt idx="0">
                  <c:v>満足</c:v>
                </c:pt>
                <c:pt idx="1">
                  <c:v>どちらかと
いうと満足</c:v>
                </c:pt>
                <c:pt idx="2">
                  <c:v>どちらかと
いうと不満</c:v>
                </c:pt>
                <c:pt idx="3">
                  <c:v>不満</c:v>
                </c:pt>
              </c:strCache>
            </c:strRef>
          </c:cat>
          <c:val>
            <c:numRef>
              <c:f>'公表ベース（グラフ付き）'!$U$493:$U$496</c:f>
              <c:numCache>
                <c:formatCode>General</c:formatCode>
                <c:ptCount val="4"/>
                <c:pt idx="0">
                  <c:v>173</c:v>
                </c:pt>
                <c:pt idx="1">
                  <c:v>342</c:v>
                </c:pt>
                <c:pt idx="2">
                  <c:v>124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56-49C3-8D47-A03BBCFF125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18810148731409"/>
          <c:y val="0.15138865334140925"/>
          <c:w val="0.57762379702537181"/>
          <c:h val="0.7997867958812841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29-4C2D-BB72-F675352761B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29-4C2D-BB72-F675352761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29-4C2D-BB72-F675352761B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629-4C2D-BB72-F675352761B8}"/>
              </c:ext>
            </c:extLst>
          </c:dPt>
          <c:dLbls>
            <c:dLbl>
              <c:idx val="0"/>
              <c:layout>
                <c:manualLayout>
                  <c:x val="-0.106910368688241"/>
                  <c:y val="0.1724524891584908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629-4C2D-BB72-F675352761B8}"/>
                </c:ext>
              </c:extLst>
            </c:dLbl>
            <c:dLbl>
              <c:idx val="1"/>
              <c:layout>
                <c:manualLayout>
                  <c:x val="-3.1621381555551248E-2"/>
                  <c:y val="-0.1979591888033140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629-4C2D-BB72-F675352761B8}"/>
                </c:ext>
              </c:extLst>
            </c:dLbl>
            <c:dLbl>
              <c:idx val="2"/>
              <c:layout>
                <c:manualLayout>
                  <c:x val="0.15010927265791194"/>
                  <c:y val="0.101481906935590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629-4C2D-BB72-F675352761B8}"/>
                </c:ext>
              </c:extLst>
            </c:dLbl>
            <c:dLbl>
              <c:idx val="3"/>
              <c:layout>
                <c:manualLayout>
                  <c:x val="5.1742745680481664E-2"/>
                  <c:y val="0.1438604874940672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629-4C2D-BB72-F675352761B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'公表ベース（グラフ付き）'!$T$509:$T$512</c:f>
              <c:strCache>
                <c:ptCount val="4"/>
                <c:pt idx="0">
                  <c:v>満足</c:v>
                </c:pt>
                <c:pt idx="1">
                  <c:v>どちらかと
いうと満足</c:v>
                </c:pt>
                <c:pt idx="2">
                  <c:v>どちらかと
いうと不満</c:v>
                </c:pt>
                <c:pt idx="3">
                  <c:v>不満</c:v>
                </c:pt>
              </c:strCache>
            </c:strRef>
          </c:cat>
          <c:val>
            <c:numRef>
              <c:f>'公表ベース（グラフ付き）'!$U$509:$U$512</c:f>
              <c:numCache>
                <c:formatCode>General</c:formatCode>
                <c:ptCount val="4"/>
                <c:pt idx="0">
                  <c:v>176</c:v>
                </c:pt>
                <c:pt idx="1">
                  <c:v>293</c:v>
                </c:pt>
                <c:pt idx="2">
                  <c:v>137</c:v>
                </c:pt>
                <c:pt idx="3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29-4C2D-BB72-F675352761B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18810148731409"/>
          <c:y val="0.15138865334140925"/>
          <c:w val="0.57762379702537181"/>
          <c:h val="0.7997867958812841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19-4978-8AB4-96695167DD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19-4978-8AB4-96695167DD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19-4978-8AB4-96695167DDC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19-4978-8AB4-96695167DDCE}"/>
              </c:ext>
            </c:extLst>
          </c:dPt>
          <c:dLbls>
            <c:dLbl>
              <c:idx val="0"/>
              <c:layout>
                <c:manualLayout>
                  <c:x val="-0.11582936104447938"/>
                  <c:y val="0.1649192933613901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719-4978-8AB4-96695167DDCE}"/>
                </c:ext>
              </c:extLst>
            </c:dLbl>
            <c:dLbl>
              <c:idx val="1"/>
              <c:layout>
                <c:manualLayout>
                  <c:x val="-3.6077354049877475E-4"/>
                  <c:y val="-0.153491091244216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719-4978-8AB4-96695167DDCE}"/>
                </c:ext>
              </c:extLst>
            </c:dLbl>
            <c:dLbl>
              <c:idx val="2"/>
              <c:layout>
                <c:manualLayout>
                  <c:x val="0.15129777445864773"/>
                  <c:y val="8.80054668789888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719-4978-8AB4-96695167DDCE}"/>
                </c:ext>
              </c:extLst>
            </c:dLbl>
            <c:dLbl>
              <c:idx val="3"/>
              <c:layout>
                <c:manualLayout>
                  <c:x val="6.3523999100010692E-2"/>
                  <c:y val="0.157820138933813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719-4978-8AB4-96695167DDC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'公表ベース（グラフ付き）'!$T$525:$T$528</c:f>
              <c:strCache>
                <c:ptCount val="4"/>
                <c:pt idx="0">
                  <c:v>満足</c:v>
                </c:pt>
                <c:pt idx="1">
                  <c:v>どちらかと
いうと満足</c:v>
                </c:pt>
                <c:pt idx="2">
                  <c:v>どちらかと
いうと不満</c:v>
                </c:pt>
                <c:pt idx="3">
                  <c:v>不満</c:v>
                </c:pt>
              </c:strCache>
            </c:strRef>
          </c:cat>
          <c:val>
            <c:numRef>
              <c:f>'公表ベース（グラフ付き）'!$U$525:$U$528</c:f>
              <c:numCache>
                <c:formatCode>General</c:formatCode>
                <c:ptCount val="4"/>
                <c:pt idx="0">
                  <c:v>185</c:v>
                </c:pt>
                <c:pt idx="1">
                  <c:v>295</c:v>
                </c:pt>
                <c:pt idx="2">
                  <c:v>127</c:v>
                </c:pt>
                <c:pt idx="3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19-4978-8AB4-96695167DDC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18815209891384"/>
          <c:y val="0.22387684009706738"/>
          <c:w val="0.57762379702537181"/>
          <c:h val="0.7997867958812841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478-4E64-BC50-8D92B55B59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478-4E64-BC50-8D92B55B59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478-4E64-BC50-8D92B55B59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478-4E64-BC50-8D92B55B5962}"/>
              </c:ext>
            </c:extLst>
          </c:dPt>
          <c:dLbls>
            <c:dLbl>
              <c:idx val="0"/>
              <c:layout>
                <c:manualLayout>
                  <c:x val="-0.13336568515888139"/>
                  <c:y val="0.128644341325881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478-4E64-BC50-8D92B55B5962}"/>
                </c:ext>
              </c:extLst>
            </c:dLbl>
            <c:dLbl>
              <c:idx val="1"/>
              <c:layout>
                <c:manualLayout>
                  <c:x val="0.13957942309768176"/>
                  <c:y val="-0.19681942442703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478-4E64-BC50-8D92B55B5962}"/>
                </c:ext>
              </c:extLst>
            </c:dLbl>
            <c:dLbl>
              <c:idx val="2"/>
              <c:layout>
                <c:manualLayout>
                  <c:x val="9.0733281654431966E-2"/>
                  <c:y val="0.1519669373270186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478-4E64-BC50-8D92B55B5962}"/>
                </c:ext>
              </c:extLst>
            </c:dLbl>
            <c:dLbl>
              <c:idx val="3"/>
              <c:layout>
                <c:manualLayout>
                  <c:x val="1.9931537659729371E-2"/>
                  <c:y val="0.12543611298549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478-4E64-BC50-8D92B55B596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'公表ベース（グラフ付き）'!$T$541:$T$544</c:f>
              <c:strCache>
                <c:ptCount val="4"/>
                <c:pt idx="0">
                  <c:v>満足</c:v>
                </c:pt>
                <c:pt idx="1">
                  <c:v>どちらかと
いうと満足</c:v>
                </c:pt>
                <c:pt idx="2">
                  <c:v>どちらかと
いうと不満</c:v>
                </c:pt>
                <c:pt idx="3">
                  <c:v>不満</c:v>
                </c:pt>
              </c:strCache>
            </c:strRef>
          </c:cat>
          <c:val>
            <c:numRef>
              <c:f>'公表ベース（グラフ付き）'!$U$541:$U$544</c:f>
              <c:numCache>
                <c:formatCode>General</c:formatCode>
                <c:ptCount val="4"/>
                <c:pt idx="0">
                  <c:v>345</c:v>
                </c:pt>
                <c:pt idx="1">
                  <c:v>512</c:v>
                </c:pt>
                <c:pt idx="2">
                  <c:v>96</c:v>
                </c:pt>
                <c:pt idx="3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78-4E64-BC50-8D92B55B596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18810148731409"/>
          <c:y val="0.15138865334140925"/>
          <c:w val="0.57762379702537181"/>
          <c:h val="0.7997867958812841"/>
        </c:manualLayout>
      </c:layout>
      <c:pieChart>
        <c:varyColors val="1"/>
        <c:ser>
          <c:idx val="3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9A-43EA-B33F-069B6E0D83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9A-43EA-B33F-069B6E0D83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9A-43EA-B33F-069B6E0D83E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19A-43EA-B33F-069B6E0D83E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19A-43EA-B33F-069B6E0D83EF}"/>
              </c:ext>
            </c:extLst>
          </c:dPt>
          <c:dLbls>
            <c:dLbl>
              <c:idx val="0"/>
              <c:layout>
                <c:manualLayout>
                  <c:x val="-0.1251145430570145"/>
                  <c:y val="0.165077248840886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19A-43EA-B33F-069B6E0D83EF}"/>
                </c:ext>
              </c:extLst>
            </c:dLbl>
            <c:dLbl>
              <c:idx val="1"/>
              <c:layout>
                <c:manualLayout>
                  <c:x val="0.15516435097824127"/>
                  <c:y val="-0.2004176500886807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19A-43EA-B33F-069B6E0D83EF}"/>
                </c:ext>
              </c:extLst>
            </c:dLbl>
            <c:dLbl>
              <c:idx val="2"/>
              <c:layout>
                <c:manualLayout>
                  <c:x val="9.3873200399683554E-2"/>
                  <c:y val="0.165583625279700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19A-43EA-B33F-069B6E0D83E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'公表ベース（グラフ付き）'!$T$557:$T$560</c:f>
              <c:strCache>
                <c:ptCount val="4"/>
                <c:pt idx="0">
                  <c:v>満足</c:v>
                </c:pt>
                <c:pt idx="1">
                  <c:v>どちらかと
いうと満足</c:v>
                </c:pt>
                <c:pt idx="2">
                  <c:v>どちらかと
いうと不満</c:v>
                </c:pt>
                <c:pt idx="3">
                  <c:v>不満</c:v>
                </c:pt>
              </c:strCache>
            </c:strRef>
          </c:cat>
          <c:val>
            <c:numRef>
              <c:f>'公表ベース（グラフ付き）'!$U$557:$U$560</c:f>
              <c:numCache>
                <c:formatCode>General</c:formatCode>
                <c:ptCount val="4"/>
                <c:pt idx="0">
                  <c:v>235</c:v>
                </c:pt>
                <c:pt idx="1">
                  <c:v>329</c:v>
                </c:pt>
                <c:pt idx="2">
                  <c:v>63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19A-43EA-B33F-069B6E0D83E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18810148731409"/>
          <c:y val="0.15138865334140925"/>
          <c:w val="0.57762379702537181"/>
          <c:h val="0.7997867958812841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6A-4929-BFBA-ECB7EEE7B5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6A-4929-BFBA-ECB7EEE7B5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6A-4929-BFBA-ECB7EEE7B5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B6A-4929-BFBA-ECB7EEE7B51E}"/>
              </c:ext>
            </c:extLst>
          </c:dPt>
          <c:dLbls>
            <c:dLbl>
              <c:idx val="0"/>
              <c:layout>
                <c:manualLayout>
                  <c:x val="-0.12771449807196752"/>
                  <c:y val="0.159884115730430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6A-4929-BFBA-ECB7EEE7B51E}"/>
                </c:ext>
              </c:extLst>
            </c:dLbl>
            <c:dLbl>
              <c:idx val="1"/>
              <c:layout>
                <c:manualLayout>
                  <c:x val="0.10663315256272664"/>
                  <c:y val="-0.194378454007412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6A-4929-BFBA-ECB7EEE7B51E}"/>
                </c:ext>
              </c:extLst>
            </c:dLbl>
            <c:dLbl>
              <c:idx val="2"/>
              <c:layout>
                <c:manualLayout>
                  <c:x val="0.11563434532021288"/>
                  <c:y val="0.157075923271654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6A-4929-BFBA-ECB7EEE7B51E}"/>
                </c:ext>
              </c:extLst>
            </c:dLbl>
            <c:dLbl>
              <c:idx val="3"/>
              <c:layout>
                <c:manualLayout>
                  <c:x val="2.0198507934993826E-2"/>
                  <c:y val="0.1426772195416417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B6A-4929-BFBA-ECB7EEE7B51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'公表ベース（グラフ付き）'!$T$573:$T$576</c:f>
              <c:strCache>
                <c:ptCount val="4"/>
                <c:pt idx="0">
                  <c:v>満足</c:v>
                </c:pt>
                <c:pt idx="1">
                  <c:v>どちらかと
いうと満足</c:v>
                </c:pt>
                <c:pt idx="2">
                  <c:v>どちらかと
いうと不満</c:v>
                </c:pt>
                <c:pt idx="3">
                  <c:v>不満</c:v>
                </c:pt>
              </c:strCache>
            </c:strRef>
          </c:cat>
          <c:val>
            <c:numRef>
              <c:f>'公表ベース（グラフ付き）'!$U$573:$U$576</c:f>
              <c:numCache>
                <c:formatCode>General</c:formatCode>
                <c:ptCount val="4"/>
                <c:pt idx="0">
                  <c:v>211</c:v>
                </c:pt>
                <c:pt idx="1">
                  <c:v>313</c:v>
                </c:pt>
                <c:pt idx="2">
                  <c:v>115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6A-4929-BFBA-ECB7EEE7B51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満足・どちらかというと満足の理由</a:t>
            </a:r>
          </a:p>
        </c:rich>
      </c:tx>
      <c:layout>
        <c:manualLayout>
          <c:xMode val="edge"/>
          <c:yMode val="edge"/>
          <c:x val="0.18231480269810491"/>
          <c:y val="0.110274314468331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1118810148731409"/>
          <c:y val="0.15138865334140925"/>
          <c:w val="0.57762379702537181"/>
          <c:h val="0.7997867958812841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1E-4EB1-913E-C2E0A07273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1E-4EB1-913E-C2E0A07273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1E-4EB1-913E-C2E0A07273B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1E-4EB1-913E-C2E0A07273B6}"/>
              </c:ext>
            </c:extLst>
          </c:dPt>
          <c:dLbls>
            <c:dLbl>
              <c:idx val="0"/>
              <c:layout>
                <c:manualLayout>
                  <c:x val="-0.19166938578835241"/>
                  <c:y val="0.1524802504937376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11E-4EB1-913E-C2E0A07273B6}"/>
                </c:ext>
              </c:extLst>
            </c:dLbl>
            <c:dLbl>
              <c:idx val="1"/>
              <c:layout>
                <c:manualLayout>
                  <c:x val="2.7333115295818628E-2"/>
                  <c:y val="-0.151700838330309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9384137908793"/>
                      <c:h val="0.241095535111622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11E-4EB1-913E-C2E0A07273B6}"/>
                </c:ext>
              </c:extLst>
            </c:dLbl>
            <c:dLbl>
              <c:idx val="2"/>
              <c:layout>
                <c:manualLayout>
                  <c:x val="0.19051970372660357"/>
                  <c:y val="9.9991825987550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11E-4EB1-913E-C2E0A07273B6}"/>
                </c:ext>
              </c:extLst>
            </c:dLbl>
            <c:dLbl>
              <c:idx val="3"/>
              <c:layout>
                <c:manualLayout>
                  <c:x val="8.9796464256513081E-2"/>
                  <c:y val="0.184518824529386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11E-4EB1-913E-C2E0A07273B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'公表ベース（グラフ付き）'!$T$589:$T$592</c:f>
              <c:strCache>
                <c:ptCount val="4"/>
                <c:pt idx="0">
                  <c:v>業務量全般</c:v>
                </c:pt>
                <c:pt idx="1">
                  <c:v>仕事のやりがい
（内容・症例数等）</c:v>
                </c:pt>
                <c:pt idx="2">
                  <c:v>職場の雰囲気
（人間関係）</c:v>
                </c:pt>
                <c:pt idx="3">
                  <c:v>給与等
（給与・手
当等）</c:v>
                </c:pt>
              </c:strCache>
            </c:strRef>
          </c:cat>
          <c:val>
            <c:numRef>
              <c:f>'公表ベース（グラフ付き）'!$U$589:$U$592</c:f>
              <c:numCache>
                <c:formatCode>General</c:formatCode>
                <c:ptCount val="4"/>
                <c:pt idx="0">
                  <c:v>151</c:v>
                </c:pt>
                <c:pt idx="1">
                  <c:v>244</c:v>
                </c:pt>
                <c:pt idx="2">
                  <c:v>87</c:v>
                </c:pt>
                <c:pt idx="3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1E-4EB1-913E-C2E0A07273B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不満・どちらかというと不満の理由</a:t>
            </a:r>
          </a:p>
        </c:rich>
      </c:tx>
      <c:layout>
        <c:manualLayout>
          <c:xMode val="edge"/>
          <c:yMode val="edge"/>
          <c:x val="0.20581326563190611"/>
          <c:y val="0.110274314468331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1118810148731409"/>
          <c:y val="0.15138865334140925"/>
          <c:w val="0.57762379702537181"/>
          <c:h val="0.7997867958812841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D0-4181-A6EE-0C5DC71560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D0-4181-A6EE-0C5DC715605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D0-4181-A6EE-0C5DC715605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D0-4181-A6EE-0C5DC7156052}"/>
              </c:ext>
            </c:extLst>
          </c:dPt>
          <c:dLbls>
            <c:dLbl>
              <c:idx val="0"/>
              <c:layout>
                <c:manualLayout>
                  <c:x val="-0.24668087022272583"/>
                  <c:y val="1.0281617959551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AD0-4181-A6EE-0C5DC7156052}"/>
                </c:ext>
              </c:extLst>
            </c:dLbl>
            <c:dLbl>
              <c:idx val="1"/>
              <c:layout>
                <c:manualLayout>
                  <c:x val="0.17327201437493703"/>
                  <c:y val="-0.113006549836254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26833973738022"/>
                      <c:h val="0.241095535111622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AD0-4181-A6EE-0C5DC7156052}"/>
                </c:ext>
              </c:extLst>
            </c:dLbl>
            <c:dLbl>
              <c:idx val="2"/>
              <c:layout>
                <c:manualLayout>
                  <c:x val="0.19168434891788436"/>
                  <c:y val="4.14979341905167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AD0-4181-A6EE-0C5DC7156052}"/>
                </c:ext>
              </c:extLst>
            </c:dLbl>
            <c:dLbl>
              <c:idx val="3"/>
              <c:layout>
                <c:manualLayout>
                  <c:x val="0.12776977122317415"/>
                  <c:y val="0.220546986325341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AD0-4181-A6EE-0C5DC715605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'公表ベース（グラフ付き）'!$T$596:$T$599</c:f>
              <c:strCache>
                <c:ptCount val="4"/>
                <c:pt idx="0">
                  <c:v>業務量全般</c:v>
                </c:pt>
                <c:pt idx="1">
                  <c:v>仕事のやりがい
（内容・症例数等）</c:v>
                </c:pt>
                <c:pt idx="2">
                  <c:v>職場の雰囲気
（人間関係）</c:v>
                </c:pt>
                <c:pt idx="3">
                  <c:v>給与等
（給与・手
当等）</c:v>
                </c:pt>
              </c:strCache>
            </c:strRef>
          </c:cat>
          <c:val>
            <c:numRef>
              <c:f>'公表ベース（グラフ付き）'!$U$596:$U$599</c:f>
              <c:numCache>
                <c:formatCode>General</c:formatCode>
                <c:ptCount val="4"/>
                <c:pt idx="0">
                  <c:v>62</c:v>
                </c:pt>
                <c:pt idx="1">
                  <c:v>25</c:v>
                </c:pt>
                <c:pt idx="2">
                  <c:v>18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D0-4181-A6EE-0C5DC715605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18810148731409"/>
          <c:y val="0.15138865334140925"/>
          <c:w val="0.57762379702537181"/>
          <c:h val="0.7997867958812841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85A-4FC4-BC92-41BE2BB64A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85A-4FC4-BC92-41BE2BB64AEE}"/>
              </c:ext>
            </c:extLst>
          </c:dPt>
          <c:dLbls>
            <c:dLbl>
              <c:idx val="0"/>
              <c:layout>
                <c:manualLayout>
                  <c:x val="-0.18627398151529848"/>
                  <c:y val="-0.1825185063067486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85A-4FC4-BC92-41BE2BB64AEE}"/>
                </c:ext>
              </c:extLst>
            </c:dLbl>
            <c:dLbl>
              <c:idx val="1"/>
              <c:layout>
                <c:manualLayout>
                  <c:x val="0.18528864776342638"/>
                  <c:y val="0.141305933307409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85A-4FC4-BC92-41BE2BB64AE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'公表ベース（グラフ付き）'!$T$623:$T$624</c:f>
              <c:strCache>
                <c:ptCount val="2"/>
                <c:pt idx="0">
                  <c:v>はい</c:v>
                </c:pt>
                <c:pt idx="1">
                  <c:v>いいえ</c:v>
                </c:pt>
              </c:strCache>
            </c:strRef>
          </c:cat>
          <c:val>
            <c:numRef>
              <c:f>'公表ベース（グラフ付き）'!$U$623:$U$624</c:f>
              <c:numCache>
                <c:formatCode>General</c:formatCode>
                <c:ptCount val="2"/>
                <c:pt idx="0">
                  <c:v>455</c:v>
                </c:pt>
                <c:pt idx="1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5A-4FC4-BC92-41BE2BB64AE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18810148731409"/>
          <c:y val="0.15138865334140925"/>
          <c:w val="0.57762379702537181"/>
          <c:h val="0.79978679588128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AE-4F9D-8984-27F86A85D5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AE-4F9D-8984-27F86A85D5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AE-4F9D-8984-27F86A85D5E5}"/>
              </c:ext>
            </c:extLst>
          </c:dPt>
          <c:dLbls>
            <c:dLbl>
              <c:idx val="0"/>
              <c:layout>
                <c:manualLayout>
                  <c:x val="-0.23216682542816425"/>
                  <c:y val="2.7980895594993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9AE-4F9D-8984-27F86A85D5E5}"/>
                </c:ext>
              </c:extLst>
            </c:dLbl>
            <c:dLbl>
              <c:idx val="1"/>
              <c:layout>
                <c:manualLayout>
                  <c:x val="0.23552616563661807"/>
                  <c:y val="-9.61108432874462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9AE-4F9D-8984-27F86A85D5E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'公表ベース（グラフ付き）'!$T$305:$T$307</c:f>
              <c:strCache>
                <c:ptCount val="3"/>
                <c:pt idx="0">
                  <c:v>一人（完全）
主治医制</c:v>
                </c:pt>
                <c:pt idx="1">
                  <c:v>複数（チーム）
主治医制</c:v>
                </c:pt>
                <c:pt idx="2">
                  <c:v>その他</c:v>
                </c:pt>
              </c:strCache>
            </c:strRef>
          </c:cat>
          <c:val>
            <c:numRef>
              <c:f>'公表ベース（グラフ付き）'!$U$305:$U$307</c:f>
              <c:numCache>
                <c:formatCode>General</c:formatCode>
                <c:ptCount val="3"/>
                <c:pt idx="0">
                  <c:v>248</c:v>
                </c:pt>
                <c:pt idx="1">
                  <c:v>353</c:v>
                </c:pt>
                <c:pt idx="2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AE-4F9D-8984-27F86A85D5E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38842015470393"/>
          <c:y val="0.1478127802390716"/>
          <c:w val="0.57762379702537181"/>
          <c:h val="0.79978679588128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14F-4EB4-ACD0-EE7D14BC42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14F-4EB4-ACD0-EE7D14BC42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14F-4EB4-ACD0-EE7D14BC42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14F-4EB4-ACD0-EE7D14BC42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14F-4EB4-ACD0-EE7D14BC42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14F-4EB4-ACD0-EE7D14BC422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14F-4EB4-ACD0-EE7D14BC42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14F-4EB4-ACD0-EE7D14BC42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14F-4EB4-ACD0-EE7D14BC4227}"/>
              </c:ext>
            </c:extLst>
          </c:dPt>
          <c:dLbls>
            <c:dLbl>
              <c:idx val="0"/>
              <c:layout>
                <c:manualLayout>
                  <c:x val="-0.16761296574617668"/>
                  <c:y val="0.175865405431409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36011835535812"/>
                      <c:h val="0.175518001489931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14F-4EB4-ACD0-EE7D14BC4227}"/>
                </c:ext>
              </c:extLst>
            </c:dLbl>
            <c:dLbl>
              <c:idx val="1"/>
              <c:layout>
                <c:manualLayout>
                  <c:x val="-0.15290235682950445"/>
                  <c:y val="-6.36966478108235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14F-4EB4-ACD0-EE7D14BC4227}"/>
                </c:ext>
              </c:extLst>
            </c:dLbl>
            <c:dLbl>
              <c:idx val="2"/>
              <c:layout>
                <c:manualLayout>
                  <c:x val="-0.11287736589007238"/>
                  <c:y val="-7.73534606513471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13842383984162"/>
                      <c:h val="0.194009417703503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14F-4EB4-ACD0-EE7D14BC4227}"/>
                </c:ext>
              </c:extLst>
            </c:dLbl>
            <c:dLbl>
              <c:idx val="3"/>
              <c:layout>
                <c:manualLayout>
                  <c:x val="9.6486122455603188E-2"/>
                  <c:y val="-5.926145902675400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13802818598607"/>
                      <c:h val="0.236306669339598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14F-4EB4-ACD0-EE7D14BC4227}"/>
                </c:ext>
              </c:extLst>
            </c:dLbl>
            <c:dLbl>
              <c:idx val="4"/>
              <c:layout>
                <c:manualLayout>
                  <c:x val="1.4486089999837628E-3"/>
                  <c:y val="3.254598178384553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698145153001886"/>
                      <c:h val="0.249679636856910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14F-4EB4-ACD0-EE7D14BC4227}"/>
                </c:ext>
              </c:extLst>
            </c:dLbl>
            <c:dLbl>
              <c:idx val="5"/>
              <c:layout>
                <c:manualLayout>
                  <c:x val="-8.7861814169105396E-3"/>
                  <c:y val="9.926497159122488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85217480675294"/>
                      <c:h val="0.169439440941992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D14F-4EB4-ACD0-EE7D14BC4227}"/>
                </c:ext>
              </c:extLst>
            </c:dLbl>
            <c:dLbl>
              <c:idx val="6"/>
              <c:layout>
                <c:manualLayout>
                  <c:x val="3.1780333847520249E-2"/>
                  <c:y val="9.130984069683084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9634115336975"/>
                      <c:h val="0.201994868630263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D14F-4EB4-ACD0-EE7D14BC4227}"/>
                </c:ext>
              </c:extLst>
            </c:dLbl>
            <c:dLbl>
              <c:idx val="7"/>
              <c:layout>
                <c:manualLayout>
                  <c:x val="8.0392572759979561E-2"/>
                  <c:y val="1.296989229941276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331481551601956"/>
                      <c:h val="0.222690258180726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D14F-4EB4-ACD0-EE7D14BC4227}"/>
                </c:ext>
              </c:extLst>
            </c:dLbl>
            <c:dLbl>
              <c:idx val="8"/>
              <c:layout>
                <c:manualLayout>
                  <c:x val="5.6621234510506047E-2"/>
                  <c:y val="0.14730762213457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14F-4EB4-ACD0-EE7D14BC422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'公表ベース（グラフ付き）'!$T$635:$T$643</c:f>
              <c:strCache>
                <c:ptCount val="9"/>
                <c:pt idx="0">
                  <c:v>希望する内容の
仕事ができないため</c:v>
                </c:pt>
                <c:pt idx="1">
                  <c:v>労働環境に不安があるため</c:v>
                </c:pt>
                <c:pt idx="2">
                  <c:v>家族の理解が
得られないため</c:v>
                </c:pt>
                <c:pt idx="3">
                  <c:v>子どもの教育
環境が整って
いないため</c:v>
                </c:pt>
                <c:pt idx="4">
                  <c:v>元の勤務地／希望
する勤務地に行ける
保証がないため</c:v>
                </c:pt>
                <c:pt idx="5">
                  <c:v>両親等親族の
介護のため</c:v>
                </c:pt>
                <c:pt idx="6">
                  <c:v>専門医等の資格取得
に影響するため</c:v>
                </c:pt>
                <c:pt idx="7">
                  <c:v>経済的理由（収入・
待遇）のため</c:v>
                </c:pt>
                <c:pt idx="8">
                  <c:v>その他</c:v>
                </c:pt>
              </c:strCache>
            </c:strRef>
          </c:cat>
          <c:val>
            <c:numRef>
              <c:f>'公表ベース（グラフ付き）'!$U$635:$U$643</c:f>
              <c:numCache>
                <c:formatCode>General</c:formatCode>
                <c:ptCount val="9"/>
                <c:pt idx="0">
                  <c:v>106</c:v>
                </c:pt>
                <c:pt idx="1">
                  <c:v>93</c:v>
                </c:pt>
                <c:pt idx="2">
                  <c:v>81</c:v>
                </c:pt>
                <c:pt idx="3">
                  <c:v>75</c:v>
                </c:pt>
                <c:pt idx="4">
                  <c:v>43</c:v>
                </c:pt>
                <c:pt idx="5">
                  <c:v>40</c:v>
                </c:pt>
                <c:pt idx="6">
                  <c:v>34</c:v>
                </c:pt>
                <c:pt idx="7">
                  <c:v>20</c:v>
                </c:pt>
                <c:pt idx="8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14F-4EB4-ACD0-EE7D14BC422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18810148731409"/>
          <c:y val="0.15138865334140925"/>
          <c:w val="0.57762379702537181"/>
          <c:h val="0.7997867958812841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F63-4244-8B67-4A5225B9B1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F63-4244-8B67-4A5225B9B1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F63-4244-8B67-4A5225B9B1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F63-4244-8B67-4A5225B9B1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F63-4244-8B67-4A5225B9B15A}"/>
              </c:ext>
            </c:extLst>
          </c:dPt>
          <c:dLbls>
            <c:dLbl>
              <c:idx val="1"/>
              <c:layout>
                <c:manualLayout>
                  <c:x val="-3.6862570036810642E-2"/>
                  <c:y val="0.1313977969632343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F63-4244-8B67-4A5225B9B15A}"/>
                </c:ext>
              </c:extLst>
            </c:dLbl>
            <c:dLbl>
              <c:idx val="2"/>
              <c:layout>
                <c:manualLayout>
                  <c:x val="-0.16859263677619499"/>
                  <c:y val="7.41458554580861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F63-4244-8B67-4A5225B9B15A}"/>
                </c:ext>
              </c:extLst>
            </c:dLbl>
            <c:dLbl>
              <c:idx val="3"/>
              <c:layout>
                <c:manualLayout>
                  <c:x val="-5.3354108449057892E-2"/>
                  <c:y val="-0.20058130529122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F63-4244-8B67-4A5225B9B15A}"/>
                </c:ext>
              </c:extLst>
            </c:dLbl>
            <c:dLbl>
              <c:idx val="4"/>
              <c:layout>
                <c:manualLayout>
                  <c:x val="0.20062453980744507"/>
                  <c:y val="9.6554486683015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F63-4244-8B67-4A5225B9B15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'公表ベース（グラフ付き）'!$T$661:$T$665</c:f>
              <c:strCache>
                <c:ptCount val="5"/>
                <c:pt idx="0">
                  <c:v>半年</c:v>
                </c:pt>
                <c:pt idx="1">
                  <c:v>１年</c:v>
                </c:pt>
                <c:pt idx="2">
                  <c:v>２～４年</c:v>
                </c:pt>
                <c:pt idx="3">
                  <c:v>５～９年</c:v>
                </c:pt>
                <c:pt idx="4">
                  <c:v>１０年以上</c:v>
                </c:pt>
              </c:strCache>
            </c:strRef>
          </c:cat>
          <c:val>
            <c:numRef>
              <c:f>'公表ベース（グラフ付き）'!$U$661:$U$665</c:f>
              <c:numCache>
                <c:formatCode>General</c:formatCode>
                <c:ptCount val="5"/>
                <c:pt idx="0">
                  <c:v>1</c:v>
                </c:pt>
                <c:pt idx="1">
                  <c:v>17</c:v>
                </c:pt>
                <c:pt idx="2">
                  <c:v>143</c:v>
                </c:pt>
                <c:pt idx="3">
                  <c:v>92</c:v>
                </c:pt>
                <c:pt idx="4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F63-4244-8B67-4A5225B9B15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38842015470393"/>
          <c:y val="0.1478127802390716"/>
          <c:w val="0.57762379702537181"/>
          <c:h val="0.79978679588128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A9-4170-A51B-B5BCE9078A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A9-4170-A51B-B5BCE9078A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A9-4170-A51B-B5BCE9078A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BA9-4170-A51B-B5BCE9078A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BA9-4170-A51B-B5BCE9078A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BA9-4170-A51B-B5BCE9078A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BA9-4170-A51B-B5BCE9078A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BA9-4170-A51B-B5BCE9078A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BA9-4170-A51B-B5BCE9078AAE}"/>
              </c:ext>
            </c:extLst>
          </c:dPt>
          <c:dLbls>
            <c:dLbl>
              <c:idx val="0"/>
              <c:layout>
                <c:manualLayout>
                  <c:x val="-0.21643643863954948"/>
                  <c:y val="0.114029390572721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BA9-4170-A51B-B5BCE9078AAE}"/>
                </c:ext>
              </c:extLst>
            </c:dLbl>
            <c:dLbl>
              <c:idx val="1"/>
              <c:layout>
                <c:manualLayout>
                  <c:x val="-0.13026296576605492"/>
                  <c:y val="-7.036246575683839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5713888735408"/>
                      <c:h val="0.1852956984072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BA9-4170-A51B-B5BCE9078AAE}"/>
                </c:ext>
              </c:extLst>
            </c:dLbl>
            <c:dLbl>
              <c:idx val="2"/>
              <c:layout>
                <c:manualLayout>
                  <c:x val="0.13795436768055611"/>
                  <c:y val="-0.135879161914466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BA9-4170-A51B-B5BCE9078AAE}"/>
                </c:ext>
              </c:extLst>
            </c:dLbl>
            <c:dLbl>
              <c:idx val="4"/>
              <c:layout>
                <c:manualLayout>
                  <c:x val="-1.0392619051947077E-2"/>
                  <c:y val="5.52078580277199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BA9-4170-A51B-B5BCE9078AAE}"/>
                </c:ext>
              </c:extLst>
            </c:dLbl>
            <c:dLbl>
              <c:idx val="5"/>
              <c:layout>
                <c:manualLayout>
                  <c:x val="-4.557947436139944E-2"/>
                  <c:y val="5.54510931010208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BA9-4170-A51B-B5BCE9078AAE}"/>
                </c:ext>
              </c:extLst>
            </c:dLbl>
            <c:dLbl>
              <c:idx val="6"/>
              <c:layout>
                <c:manualLayout>
                  <c:x val="-3.4144425800778304E-2"/>
                  <c:y val="1.1816281817618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BA9-4170-A51B-B5BCE9078AAE}"/>
                </c:ext>
              </c:extLst>
            </c:dLbl>
            <c:dLbl>
              <c:idx val="7"/>
              <c:layout>
                <c:manualLayout>
                  <c:x val="-7.0533170657697067E-4"/>
                  <c:y val="-2.32889127990555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BA9-4170-A51B-B5BCE9078AAE}"/>
                </c:ext>
              </c:extLst>
            </c:dLbl>
            <c:dLbl>
              <c:idx val="8"/>
              <c:layout>
                <c:manualLayout>
                  <c:x val="4.5149508184565458E-2"/>
                  <c:y val="-2.94244199688971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BA9-4170-A51B-B5BCE9078AA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'公表ベース（グラフ付き）'!$T$708:$T$716</c:f>
              <c:strCache>
                <c:ptCount val="9"/>
                <c:pt idx="0">
                  <c:v>家族の同意がある</c:v>
                </c:pt>
                <c:pt idx="1">
                  <c:v>単身赴任者への
配慮が充実している
（休日・帰省費用等）</c:v>
                </c:pt>
                <c:pt idx="2">
                  <c:v>子どもの教育環境が整備されている</c:v>
                </c:pt>
                <c:pt idx="3">
                  <c:v>現在の生活圏から
交通の便が良く
距離が近い</c:v>
                </c:pt>
                <c:pt idx="4">
                  <c:v>商業・娯楽施設が
充実している</c:v>
                </c:pt>
                <c:pt idx="5">
                  <c:v>配偶者の居住地・
勤務地である</c:v>
                </c:pt>
                <c:pt idx="6">
                  <c:v>特になし</c:v>
                </c:pt>
                <c:pt idx="7">
                  <c:v>出身地である</c:v>
                </c:pt>
                <c:pt idx="8">
                  <c:v>その他</c:v>
                </c:pt>
              </c:strCache>
            </c:strRef>
          </c:cat>
          <c:val>
            <c:numRef>
              <c:f>'公表ベース（グラフ付き）'!$U$708:$U$716</c:f>
              <c:numCache>
                <c:formatCode>General</c:formatCode>
                <c:ptCount val="9"/>
                <c:pt idx="0">
                  <c:v>294</c:v>
                </c:pt>
                <c:pt idx="1">
                  <c:v>120</c:v>
                </c:pt>
                <c:pt idx="2">
                  <c:v>112</c:v>
                </c:pt>
                <c:pt idx="3">
                  <c:v>99</c:v>
                </c:pt>
                <c:pt idx="4">
                  <c:v>46</c:v>
                </c:pt>
                <c:pt idx="5">
                  <c:v>53</c:v>
                </c:pt>
                <c:pt idx="6">
                  <c:v>44</c:v>
                </c:pt>
                <c:pt idx="7">
                  <c:v>28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BA9-4170-A51B-B5BCE9078AA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20411476502584"/>
          <c:y val="0.18456649435132072"/>
          <c:w val="0.57762379702537181"/>
          <c:h val="0.79978679588128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A82-40A7-9361-3CD96CAA10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A82-40A7-9361-3CD96CAA10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A82-40A7-9361-3CD96CAA10C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A82-40A7-9361-3CD96CAA10C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A82-40A7-9361-3CD96CAA10C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A82-40A7-9361-3CD96CAA10C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A82-40A7-9361-3CD96CAA10CB}"/>
              </c:ext>
            </c:extLst>
          </c:dPt>
          <c:dLbls>
            <c:dLbl>
              <c:idx val="0"/>
              <c:layout>
                <c:manualLayout>
                  <c:x val="-0.21529203751488812"/>
                  <c:y val="-7.64487656726152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A82-40A7-9361-3CD96CAA10CB}"/>
                </c:ext>
              </c:extLst>
            </c:dLbl>
            <c:dLbl>
              <c:idx val="1"/>
              <c:layout>
                <c:manualLayout>
                  <c:x val="0.16323277288176377"/>
                  <c:y val="-0.185238953037600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A82-40A7-9361-3CD96CAA10CB}"/>
                </c:ext>
              </c:extLst>
            </c:dLbl>
            <c:dLbl>
              <c:idx val="2"/>
              <c:layout>
                <c:manualLayout>
                  <c:x val="0.21241320409081077"/>
                  <c:y val="7.12185314459940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A82-40A7-9361-3CD96CAA10CB}"/>
                </c:ext>
              </c:extLst>
            </c:dLbl>
            <c:dLbl>
              <c:idx val="3"/>
              <c:layout>
                <c:manualLayout>
                  <c:x val="-1.0770410332822098E-3"/>
                  <c:y val="7.00381770265907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153401621577131"/>
                      <c:h val="0.124912621149772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A82-40A7-9361-3CD96CAA10CB}"/>
                </c:ext>
              </c:extLst>
            </c:dLbl>
            <c:dLbl>
              <c:idx val="4"/>
              <c:layout>
                <c:manualLayout>
                  <c:x val="-4.093296248060925E-2"/>
                  <c:y val="4.13249014661230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A82-40A7-9361-3CD96CAA10CB}"/>
                </c:ext>
              </c:extLst>
            </c:dLbl>
            <c:dLbl>
              <c:idx val="5"/>
              <c:layout>
                <c:manualLayout>
                  <c:x val="-1.9352158017408843E-2"/>
                  <c:y val="-2.266338365109812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32662241913141"/>
                      <c:h val="0.151642590839144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3A82-40A7-9361-3CD96CAA10CB}"/>
                </c:ext>
              </c:extLst>
            </c:dLbl>
            <c:dLbl>
              <c:idx val="6"/>
              <c:layout>
                <c:manualLayout>
                  <c:x val="1.6141567137929153E-2"/>
                  <c:y val="5.674330573428884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A82-40A7-9361-3CD96CAA10C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'公表ベース（グラフ付き）'!$T$752:$T$758</c:f>
              <c:strCache>
                <c:ptCount val="7"/>
                <c:pt idx="0">
                  <c:v>自分と交代できる医師がいる</c:v>
                </c:pt>
                <c:pt idx="1">
                  <c:v>病院の施設・設備が整っている</c:v>
                </c:pt>
                <c:pt idx="2">
                  <c:v>他病院とのネットワーク・連携がある</c:v>
                </c:pt>
                <c:pt idx="3">
                  <c:v>地域の中核病院である</c:v>
                </c:pt>
                <c:pt idx="4">
                  <c:v>特になし</c:v>
                </c:pt>
                <c:pt idx="5">
                  <c:v>入院のない小規模の
診療所である</c:v>
                </c:pt>
                <c:pt idx="6">
                  <c:v>その他</c:v>
                </c:pt>
              </c:strCache>
            </c:strRef>
          </c:cat>
          <c:val>
            <c:numRef>
              <c:f>'公表ベース（グラフ付き）'!$U$752:$U$758</c:f>
              <c:numCache>
                <c:formatCode>General</c:formatCode>
                <c:ptCount val="7"/>
                <c:pt idx="0">
                  <c:v>434</c:v>
                </c:pt>
                <c:pt idx="1">
                  <c:v>144</c:v>
                </c:pt>
                <c:pt idx="2">
                  <c:v>96</c:v>
                </c:pt>
                <c:pt idx="3">
                  <c:v>64</c:v>
                </c:pt>
                <c:pt idx="4">
                  <c:v>26</c:v>
                </c:pt>
                <c:pt idx="5">
                  <c:v>14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A82-40A7-9361-3CD96CAA10C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28417205352281"/>
          <c:y val="0.1244240625502338"/>
          <c:w val="0.57762379702537181"/>
          <c:h val="0.79978679588128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58-4C7D-9235-D197AE166CA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58-4C7D-9235-D197AE166CA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58-4C7D-9235-D197AE166CA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58-4C7D-9235-D197AE166CA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58-4C7D-9235-D197AE166CA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58-4C7D-9235-D197AE166CA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F58-4C7D-9235-D197AE166CA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F58-4C7D-9235-D197AE166CA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F58-4C7D-9235-D197AE166CAA}"/>
              </c:ext>
            </c:extLst>
          </c:dPt>
          <c:dLbls>
            <c:dLbl>
              <c:idx val="0"/>
              <c:layout>
                <c:manualLayout>
                  <c:x val="-0.19366926807497295"/>
                  <c:y val="0.1483821133355976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F58-4C7D-9235-D197AE166CAA}"/>
                </c:ext>
              </c:extLst>
            </c:dLbl>
            <c:dLbl>
              <c:idx val="1"/>
              <c:layout>
                <c:manualLayout>
                  <c:x val="-0.17157525012776556"/>
                  <c:y val="-0.2089600448782792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06590968726891"/>
                      <c:h val="0.157873815377156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F58-4C7D-9235-D197AE166CAA}"/>
                </c:ext>
              </c:extLst>
            </c:dLbl>
            <c:dLbl>
              <c:idx val="2"/>
              <c:layout>
                <c:manualLayout>
                  <c:x val="0.20586252525778292"/>
                  <c:y val="-0.20494730696870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762128283511782"/>
                      <c:h val="0.155367948819474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F58-4C7D-9235-D197AE166CAA}"/>
                </c:ext>
              </c:extLst>
            </c:dLbl>
            <c:dLbl>
              <c:idx val="3"/>
              <c:layout>
                <c:manualLayout>
                  <c:x val="0.18164812891203011"/>
                  <c:y val="4.16977087455530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F58-4C7D-9235-D197AE166CAA}"/>
                </c:ext>
              </c:extLst>
            </c:dLbl>
            <c:dLbl>
              <c:idx val="4"/>
              <c:layout>
                <c:manualLayout>
                  <c:x val="-2.19275108158874E-2"/>
                  <c:y val="6.6935948310131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F58-4C7D-9235-D197AE166CAA}"/>
                </c:ext>
              </c:extLst>
            </c:dLbl>
            <c:dLbl>
              <c:idx val="5"/>
              <c:layout>
                <c:manualLayout>
                  <c:x val="-3.7562616518099244E-2"/>
                  <c:y val="6.4924360236854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F58-4C7D-9235-D197AE166CAA}"/>
                </c:ext>
              </c:extLst>
            </c:dLbl>
            <c:dLbl>
              <c:idx val="6"/>
              <c:layout>
                <c:manualLayout>
                  <c:x val="-1.264858223545071E-2"/>
                  <c:y val="1.22525164594457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34596821004588"/>
                      <c:h val="0.10536749802324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F58-4C7D-9235-D197AE166CAA}"/>
                </c:ext>
              </c:extLst>
            </c:dLbl>
            <c:dLbl>
              <c:idx val="8"/>
              <c:layout>
                <c:manualLayout>
                  <c:x val="5.6110505850872322E-2"/>
                  <c:y val="1.0944554518483011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F58-4C7D-9235-D197AE166CA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'公表ベース（グラフ付き）'!$T$800:$T$808</c:f>
              <c:strCache>
                <c:ptCount val="9"/>
                <c:pt idx="0">
                  <c:v>給与や手当が良い</c:v>
                </c:pt>
                <c:pt idx="1">
                  <c:v>医師の勤務環境改善に
取り組まれている</c:v>
                </c:pt>
                <c:pt idx="2">
                  <c:v>医師の勤務環境に対し
て地域の理解がある</c:v>
                </c:pt>
                <c:pt idx="3">
                  <c:v>居住環境が整備
されている</c:v>
                </c:pt>
                <c:pt idx="4">
                  <c:v>一定の期間である</c:v>
                </c:pt>
                <c:pt idx="5">
                  <c:v>定年退職後である</c:v>
                </c:pt>
                <c:pt idx="6">
                  <c:v>専門医取得後である</c:v>
                </c:pt>
                <c:pt idx="7">
                  <c:v>特になし</c:v>
                </c:pt>
                <c:pt idx="8">
                  <c:v>その他</c:v>
                </c:pt>
              </c:strCache>
            </c:strRef>
          </c:cat>
          <c:val>
            <c:numRef>
              <c:f>'公表ベース（グラフ付き）'!$U$800:$U$808</c:f>
              <c:numCache>
                <c:formatCode>General</c:formatCode>
                <c:ptCount val="9"/>
                <c:pt idx="0">
                  <c:v>276</c:v>
                </c:pt>
                <c:pt idx="1">
                  <c:v>223</c:v>
                </c:pt>
                <c:pt idx="2">
                  <c:v>169</c:v>
                </c:pt>
                <c:pt idx="3">
                  <c:v>86</c:v>
                </c:pt>
                <c:pt idx="4">
                  <c:v>52</c:v>
                </c:pt>
                <c:pt idx="5">
                  <c:v>35</c:v>
                </c:pt>
                <c:pt idx="6">
                  <c:v>25</c:v>
                </c:pt>
                <c:pt idx="7">
                  <c:v>16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F58-4C7D-9235-D197AE166CA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28417205352281"/>
          <c:y val="0.1244240625502338"/>
          <c:w val="0.57762379702537181"/>
          <c:h val="0.79978679588128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9C7-4183-845C-C0FA279622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9C7-4183-845C-C0FA279622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9C7-4183-845C-C0FA279622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9C7-4183-845C-C0FA279622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9C7-4183-845C-C0FA279622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9C7-4183-845C-C0FA279622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9C7-4183-845C-C0FA279622A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9C7-4183-845C-C0FA279622A6}"/>
              </c:ext>
            </c:extLst>
          </c:dPt>
          <c:dLbls>
            <c:dLbl>
              <c:idx val="0"/>
              <c:layout>
                <c:manualLayout>
                  <c:x val="-0.17440590290529126"/>
                  <c:y val="0.1739389635875197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9C7-4183-845C-C0FA279622A6}"/>
                </c:ext>
              </c:extLst>
            </c:dLbl>
            <c:dLbl>
              <c:idx val="1"/>
              <c:layout>
                <c:manualLayout>
                  <c:x val="-0.15495594668034512"/>
                  <c:y val="-0.214426185688574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09009610339882"/>
                      <c:h val="0.242190363161892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9C7-4183-845C-C0FA279622A6}"/>
                </c:ext>
              </c:extLst>
            </c:dLbl>
            <c:dLbl>
              <c:idx val="2"/>
              <c:layout>
                <c:manualLayout>
                  <c:x val="0.11935880732927431"/>
                  <c:y val="-8.93932152372429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53892395676058"/>
                      <c:h val="0.203097782491185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9C7-4183-845C-C0FA279622A6}"/>
                </c:ext>
              </c:extLst>
            </c:dLbl>
            <c:dLbl>
              <c:idx val="3"/>
              <c:layout>
                <c:manualLayout>
                  <c:x val="0.14898319354360129"/>
                  <c:y val="-5.27700380320935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9C7-4183-845C-C0FA279622A6}"/>
                </c:ext>
              </c:extLst>
            </c:dLbl>
            <c:dLbl>
              <c:idx val="4"/>
              <c:layout>
                <c:manualLayout>
                  <c:x val="0.1332914180195518"/>
                  <c:y val="5.94973458886696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9C7-4183-845C-C0FA279622A6}"/>
                </c:ext>
              </c:extLst>
            </c:dLbl>
            <c:dLbl>
              <c:idx val="5"/>
              <c:layout>
                <c:manualLayout>
                  <c:x val="-1.0293126262889146E-2"/>
                  <c:y val="7.649848973040351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03503030933952"/>
                      <c:h val="0.160578451277132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9C7-4183-845C-C0FA279622A6}"/>
                </c:ext>
              </c:extLst>
            </c:dLbl>
            <c:dLbl>
              <c:idx val="6"/>
              <c:layout>
                <c:manualLayout>
                  <c:x val="-3.4310420876297078E-3"/>
                  <c:y val="2.751345246235375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15276908510408"/>
                      <c:h val="0.142002963974788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9C7-4183-845C-C0FA279622A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'公表ベース（グラフ付き）'!$T$854:$T$861</c:f>
              <c:strCache>
                <c:ptCount val="8"/>
                <c:pt idx="0">
                  <c:v>幅広い症例を
経験できた</c:v>
                </c:pt>
                <c:pt idx="1">
                  <c:v>患者、住民から必要と
される充実感がある
（患者との距離が近い）</c:v>
                </c:pt>
                <c:pt idx="2">
                  <c:v>診療に対する
裁量が大きい
（任される部分が多い）</c:v>
                </c:pt>
                <c:pt idx="3">
                  <c:v>給与が良い</c:v>
                </c:pt>
                <c:pt idx="4">
                  <c:v>特になし</c:v>
                </c:pt>
                <c:pt idx="5">
                  <c:v>環境が良い（地域、
自然、子どもの成長等）</c:v>
                </c:pt>
                <c:pt idx="6">
                  <c:v>地域（住民）からの
支援や理解がある</c:v>
                </c:pt>
                <c:pt idx="7">
                  <c:v>その他</c:v>
                </c:pt>
              </c:strCache>
            </c:strRef>
          </c:cat>
          <c:val>
            <c:numRef>
              <c:f>'公表ベース（グラフ付き）'!$U$854:$U$861</c:f>
              <c:numCache>
                <c:formatCode>General</c:formatCode>
                <c:ptCount val="8"/>
                <c:pt idx="0">
                  <c:v>227</c:v>
                </c:pt>
                <c:pt idx="1">
                  <c:v>143</c:v>
                </c:pt>
                <c:pt idx="2">
                  <c:v>146</c:v>
                </c:pt>
                <c:pt idx="3">
                  <c:v>103</c:v>
                </c:pt>
                <c:pt idx="4">
                  <c:v>79</c:v>
                </c:pt>
                <c:pt idx="5">
                  <c:v>60</c:v>
                </c:pt>
                <c:pt idx="6">
                  <c:v>37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9C7-4183-845C-C0FA279622A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18810148731409"/>
          <c:y val="0.15138865334140925"/>
          <c:w val="0.57762379702537181"/>
          <c:h val="0.79978679588128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B1-4FAE-AB1C-D940AC02CA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B1-4FAE-AB1C-D940AC02CA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B1-4FAE-AB1C-D940AC02CA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EB1-4FAE-AB1C-D940AC02CAD1}"/>
              </c:ext>
            </c:extLst>
          </c:dPt>
          <c:dLbls>
            <c:dLbl>
              <c:idx val="0"/>
              <c:layout>
                <c:manualLayout>
                  <c:x val="-1.6703767292246364E-2"/>
                  <c:y val="3.5368665987991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B1-4FAE-AB1C-D940AC02CAD1}"/>
                </c:ext>
              </c:extLst>
            </c:dLbl>
            <c:dLbl>
              <c:idx val="1"/>
              <c:layout>
                <c:manualLayout>
                  <c:x val="-0.21446618123514469"/>
                  <c:y val="-0.127406950994915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B1-4FAE-AB1C-D940AC02CAD1}"/>
                </c:ext>
              </c:extLst>
            </c:dLbl>
            <c:dLbl>
              <c:idx val="2"/>
              <c:layout>
                <c:manualLayout>
                  <c:x val="0.21606697173591333"/>
                  <c:y val="-1.32386050486546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B1-4FAE-AB1C-D940AC02CAD1}"/>
                </c:ext>
              </c:extLst>
            </c:dLbl>
            <c:dLbl>
              <c:idx val="3"/>
              <c:layout>
                <c:manualLayout>
                  <c:x val="2.6487478538866852E-2"/>
                  <c:y val="8.986765836328507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B1-4FAE-AB1C-D940AC02CAD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'公表ベース（グラフ付き）'!$T$334:$T$337</c:f>
              <c:strCache>
                <c:ptCount val="4"/>
                <c:pt idx="0">
                  <c:v>週40時間未満</c:v>
                </c:pt>
                <c:pt idx="1">
                  <c:v>週40～60時間</c:v>
                </c:pt>
                <c:pt idx="2">
                  <c:v>週60～80時間</c:v>
                </c:pt>
                <c:pt idx="3">
                  <c:v>週80時間以上</c:v>
                </c:pt>
              </c:strCache>
            </c:strRef>
          </c:cat>
          <c:val>
            <c:numRef>
              <c:f>'公表ベース（グラフ付き）'!$U$334:$U$337</c:f>
              <c:numCache>
                <c:formatCode>General</c:formatCode>
                <c:ptCount val="4"/>
                <c:pt idx="0">
                  <c:v>4</c:v>
                </c:pt>
                <c:pt idx="1">
                  <c:v>381</c:v>
                </c:pt>
                <c:pt idx="2">
                  <c:v>200</c:v>
                </c:pt>
                <c:pt idx="3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B1-4FAE-AB1C-D940AC02CAD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18810148731409"/>
          <c:y val="0.15138865334140925"/>
          <c:w val="0.57762379702537181"/>
          <c:h val="0.79978679588128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469-4F74-A218-31FBE6D383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469-4F74-A218-31FBE6D3838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469-4F74-A218-31FBE6D3838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469-4F74-A218-31FBE6D3838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469-4F74-A218-31FBE6D3838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469-4F74-A218-31FBE6D3838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469-4F74-A218-31FBE6D3838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469-4F74-A218-31FBE6D3838C}"/>
              </c:ext>
            </c:extLst>
          </c:dPt>
          <c:dLbls>
            <c:dLbl>
              <c:idx val="0"/>
              <c:layout>
                <c:manualLayout>
                  <c:x val="-0.12433692808863284"/>
                  <c:y val="0.17058807795239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469-4F74-A218-31FBE6D3838C}"/>
                </c:ext>
              </c:extLst>
            </c:dLbl>
            <c:dLbl>
              <c:idx val="1"/>
              <c:layout>
                <c:manualLayout>
                  <c:x val="-0.21360356418948137"/>
                  <c:y val="-0.109713640542226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469-4F74-A218-31FBE6D3838C}"/>
                </c:ext>
              </c:extLst>
            </c:dLbl>
            <c:dLbl>
              <c:idx val="2"/>
              <c:layout>
                <c:manualLayout>
                  <c:x val="2.9619949230163138E-2"/>
                  <c:y val="-5.777728974238770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0229356362779"/>
                      <c:h val="0.185941483618200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469-4F74-A218-31FBE6D3838C}"/>
                </c:ext>
              </c:extLst>
            </c:dLbl>
            <c:dLbl>
              <c:idx val="3"/>
              <c:layout>
                <c:manualLayout>
                  <c:x val="0.18767988920117679"/>
                  <c:y val="-0.12806142488501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469-4F74-A218-31FBE6D3838C}"/>
                </c:ext>
              </c:extLst>
            </c:dLbl>
            <c:dLbl>
              <c:idx val="4"/>
              <c:layout>
                <c:manualLayout>
                  <c:x val="0.17090108200275164"/>
                  <c:y val="7.6914283622705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469-4F74-A218-31FBE6D3838C}"/>
                </c:ext>
              </c:extLst>
            </c:dLbl>
            <c:dLbl>
              <c:idx val="5"/>
              <c:layout>
                <c:manualLayout>
                  <c:x val="2.831960723853974E-2"/>
                  <c:y val="0.1358356799420686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80753130876259"/>
                      <c:h val="0.242250973559345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E469-4F74-A218-31FBE6D3838C}"/>
                </c:ext>
              </c:extLst>
            </c:dLbl>
            <c:dLbl>
              <c:idx val="6"/>
              <c:layout>
                <c:manualLayout>
                  <c:x val="6.8786910245421579E-2"/>
                  <c:y val="2.239368320861127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280335620336624"/>
                      <c:h val="0.172080389202384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E469-4F74-A218-31FBE6D3838C}"/>
                </c:ext>
              </c:extLst>
            </c:dLbl>
            <c:dLbl>
              <c:idx val="7"/>
              <c:layout>
                <c:manualLayout>
                  <c:x val="8.7501533799970652E-2"/>
                  <c:y val="1.22787850232341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469-4F74-A218-31FBE6D3838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'公表ベース（グラフ付き）'!$T$355:$T$362</c:f>
              <c:strCache>
                <c:ptCount val="8"/>
                <c:pt idx="0">
                  <c:v>緊急対応</c:v>
                </c:pt>
                <c:pt idx="1">
                  <c:v>土日祝日の当番（回診）</c:v>
                </c:pt>
                <c:pt idx="2">
                  <c:v>記録・報告書作成
や書類の整理</c:v>
                </c:pt>
                <c:pt idx="3">
                  <c:v>手術や外来対応等の延長</c:v>
                </c:pt>
                <c:pt idx="4">
                  <c:v>カンファレンス
への参加</c:v>
                </c:pt>
                <c:pt idx="5">
                  <c:v>勤務開始前の準備</c:v>
                </c:pt>
                <c:pt idx="6">
                  <c:v>他職種・他機関との
連絡調整</c:v>
                </c:pt>
                <c:pt idx="7">
                  <c:v>その他</c:v>
                </c:pt>
              </c:strCache>
            </c:strRef>
          </c:cat>
          <c:val>
            <c:numRef>
              <c:f>'公表ベース（グラフ付き）'!$U$355:$U$362</c:f>
              <c:numCache>
                <c:formatCode>0.0%</c:formatCode>
                <c:ptCount val="8"/>
                <c:pt idx="0">
                  <c:v>0.217</c:v>
                </c:pt>
                <c:pt idx="1">
                  <c:v>0.193</c:v>
                </c:pt>
                <c:pt idx="2">
                  <c:v>0.16800000000000001</c:v>
                </c:pt>
                <c:pt idx="3">
                  <c:v>0.14599999999999999</c:v>
                </c:pt>
                <c:pt idx="4">
                  <c:v>0.114</c:v>
                </c:pt>
                <c:pt idx="5">
                  <c:v>9.0999999999999998E-2</c:v>
                </c:pt>
                <c:pt idx="6">
                  <c:v>4.1000000000000002E-2</c:v>
                </c:pt>
                <c:pt idx="7">
                  <c:v>2.9000000000000001E-2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469-4F74-A218-31FBE6D3838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18810148731409"/>
          <c:y val="0.15138865334140925"/>
          <c:w val="0.57762379702537181"/>
          <c:h val="0.79978679588128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61-4195-9617-E3EE1BCE1B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61-4195-9617-E3EE1BCE1B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61-4195-9617-E3EE1BCE1B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861-4195-9617-E3EE1BCE1B9D}"/>
              </c:ext>
            </c:extLst>
          </c:dPt>
          <c:dLbls>
            <c:dLbl>
              <c:idx val="0"/>
              <c:layout>
                <c:manualLayout>
                  <c:x val="-0.18779534771664699"/>
                  <c:y val="-0.171823375019299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861-4195-9617-E3EE1BCE1B9D}"/>
                </c:ext>
              </c:extLst>
            </c:dLbl>
            <c:dLbl>
              <c:idx val="1"/>
              <c:layout>
                <c:manualLayout>
                  <c:x val="0.16271721382256402"/>
                  <c:y val="-1.0436621892851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861-4195-9617-E3EE1BCE1B9D}"/>
                </c:ext>
              </c:extLst>
            </c:dLbl>
            <c:dLbl>
              <c:idx val="2"/>
              <c:layout>
                <c:manualLayout>
                  <c:x val="9.3766604664511921E-2"/>
                  <c:y val="0.153625443878338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861-4195-9617-E3EE1BCE1B9D}"/>
                </c:ext>
              </c:extLst>
            </c:dLbl>
            <c:dLbl>
              <c:idx val="3"/>
              <c:layout>
                <c:manualLayout>
                  <c:x val="-6.370145335088831E-2"/>
                  <c:y val="1.23325613710050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861-4195-9617-E3EE1BCE1B9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'公表ベース（グラフ付き）'!$T$380:$T$383</c:f>
              <c:strCache>
                <c:ptCount val="4"/>
                <c:pt idx="0">
                  <c:v>１～４回</c:v>
                </c:pt>
                <c:pt idx="1">
                  <c:v>なし</c:v>
                </c:pt>
                <c:pt idx="2">
                  <c:v>５～８回</c:v>
                </c:pt>
                <c:pt idx="3">
                  <c:v>９回以上</c:v>
                </c:pt>
              </c:strCache>
            </c:strRef>
          </c:cat>
          <c:val>
            <c:numRef>
              <c:f>'公表ベース（グラフ付き）'!$U$380:$U$383</c:f>
              <c:numCache>
                <c:formatCode>General</c:formatCode>
                <c:ptCount val="4"/>
                <c:pt idx="0">
                  <c:v>407</c:v>
                </c:pt>
                <c:pt idx="1">
                  <c:v>187</c:v>
                </c:pt>
                <c:pt idx="2">
                  <c:v>56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61-4195-9617-E3EE1BCE1B9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18810148731409"/>
          <c:y val="0.15138865334140925"/>
          <c:w val="0.57762379702537181"/>
          <c:h val="0.79978679588128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21-413A-9C0C-71D1D60ABE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21-413A-9C0C-71D1D60ABE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21-413A-9C0C-71D1D60ABE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21-413A-9C0C-71D1D60ABE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E21-413A-9C0C-71D1D60ABE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E21-413A-9C0C-71D1D60ABE9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E21-413A-9C0C-71D1D60ABE9D}"/>
              </c:ext>
            </c:extLst>
          </c:dPt>
          <c:dLbls>
            <c:dLbl>
              <c:idx val="0"/>
              <c:layout>
                <c:manualLayout>
                  <c:x val="4.7107154882106872E-2"/>
                  <c:y val="9.3733256361989807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88780413890704"/>
                      <c:h val="0.130541106964879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E21-413A-9C0C-71D1D60ABE9D}"/>
                </c:ext>
              </c:extLst>
            </c:dLbl>
            <c:dLbl>
              <c:idx val="1"/>
              <c:layout>
                <c:manualLayout>
                  <c:x val="-0.18170319683353253"/>
                  <c:y val="-3.19144665740311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E21-413A-9C0C-71D1D60ABE9D}"/>
                </c:ext>
              </c:extLst>
            </c:dLbl>
            <c:dLbl>
              <c:idx val="2"/>
              <c:layout>
                <c:manualLayout>
                  <c:x val="3.4016391292077072E-3"/>
                  <c:y val="-0.1718233750192990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E21-413A-9C0C-71D1D60ABE9D}"/>
                </c:ext>
              </c:extLst>
            </c:dLbl>
            <c:dLbl>
              <c:idx val="3"/>
              <c:layout>
                <c:manualLayout>
                  <c:x val="0.18189586512626332"/>
                  <c:y val="-5.18604292110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E21-413A-9C0C-71D1D60ABE9D}"/>
                </c:ext>
              </c:extLst>
            </c:dLbl>
            <c:dLbl>
              <c:idx val="5"/>
              <c:layout>
                <c:manualLayout>
                  <c:x val="-1.3939647940616909E-3"/>
                  <c:y val="1.866450517214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E21-413A-9C0C-71D1D60ABE9D}"/>
                </c:ext>
              </c:extLst>
            </c:dLbl>
            <c:dLbl>
              <c:idx val="6"/>
              <c:layout>
                <c:manualLayout>
                  <c:x val="3.2064384290769646E-2"/>
                  <c:y val="-9.52663270032422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E21-413A-9C0C-71D1D60ABE9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'公表ベース（グラフ付き）'!$T$396:$T$402</c:f>
              <c:strCache>
                <c:ptCount val="7"/>
                <c:pt idx="0">
                  <c:v>なし</c:v>
                </c:pt>
                <c:pt idx="1">
                  <c:v>１～４回</c:v>
                </c:pt>
                <c:pt idx="2">
                  <c:v>５～８回</c:v>
                </c:pt>
                <c:pt idx="3">
                  <c:v>９～12回</c:v>
                </c:pt>
                <c:pt idx="4">
                  <c:v>13～16回</c:v>
                </c:pt>
                <c:pt idx="5">
                  <c:v>17～20回</c:v>
                </c:pt>
                <c:pt idx="6">
                  <c:v>ほぼ毎日</c:v>
                </c:pt>
              </c:strCache>
            </c:strRef>
          </c:cat>
          <c:val>
            <c:numRef>
              <c:f>'公表ベース（グラフ付き）'!$U$396:$U$402</c:f>
              <c:numCache>
                <c:formatCode>General</c:formatCode>
                <c:ptCount val="7"/>
                <c:pt idx="0">
                  <c:v>39</c:v>
                </c:pt>
                <c:pt idx="1">
                  <c:v>328</c:v>
                </c:pt>
                <c:pt idx="2">
                  <c:v>267</c:v>
                </c:pt>
                <c:pt idx="3">
                  <c:v>201</c:v>
                </c:pt>
                <c:pt idx="4">
                  <c:v>85</c:v>
                </c:pt>
                <c:pt idx="5">
                  <c:v>28</c:v>
                </c:pt>
                <c:pt idx="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E21-413A-9C0C-71D1D60ABE9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18810148731409"/>
          <c:y val="0.15138865334140925"/>
          <c:w val="0.57762379702537181"/>
          <c:h val="0.79978679588128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31-4BEA-991B-3D2F28A9A5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31-4BEA-991B-3D2F28A9A5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31-4BEA-991B-3D2F28A9A5B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D31-4BEA-991B-3D2F28A9A5B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D31-4BEA-991B-3D2F28A9A5B6}"/>
              </c:ext>
            </c:extLst>
          </c:dPt>
          <c:dLbls>
            <c:dLbl>
              <c:idx val="0"/>
              <c:layout>
                <c:manualLayout>
                  <c:x val="-6.7143816328826031E-2"/>
                  <c:y val="0.167782924193299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D31-4BEA-991B-3D2F28A9A5B6}"/>
                </c:ext>
              </c:extLst>
            </c:dLbl>
            <c:dLbl>
              <c:idx val="1"/>
              <c:layout>
                <c:manualLayout>
                  <c:x val="-0.17838551499470362"/>
                  <c:y val="6.7800833719314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D31-4BEA-991B-3D2F28A9A5B6}"/>
                </c:ext>
              </c:extLst>
            </c:dLbl>
            <c:dLbl>
              <c:idx val="2"/>
              <c:layout>
                <c:manualLayout>
                  <c:x val="0.15403288159900311"/>
                  <c:y val="-0.238490041685965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D31-4BEA-991B-3D2F28A9A5B6}"/>
                </c:ext>
              </c:extLst>
            </c:dLbl>
            <c:dLbl>
              <c:idx val="3"/>
              <c:layout>
                <c:manualLayout>
                  <c:x val="0.10966156770619329"/>
                  <c:y val="0.177184190211517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D31-4BEA-991B-3D2F28A9A5B6}"/>
                </c:ext>
              </c:extLst>
            </c:dLbl>
            <c:dLbl>
              <c:idx val="4"/>
              <c:layout>
                <c:manualLayout>
                  <c:x val="-8.3076651409102198E-3"/>
                  <c:y val="5.467963563378107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D31-4BEA-991B-3D2F28A9A5B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'公表ベース（グラフ付き）'!$T$442:$T$446</c:f>
              <c:strCache>
                <c:ptCount val="5"/>
                <c:pt idx="0">
                  <c:v>なし</c:v>
                </c:pt>
                <c:pt idx="1">
                  <c:v>１～３回</c:v>
                </c:pt>
                <c:pt idx="2">
                  <c:v>４～７回</c:v>
                </c:pt>
                <c:pt idx="3">
                  <c:v>７～10回</c:v>
                </c:pt>
                <c:pt idx="4">
                  <c:v>11回以上</c:v>
                </c:pt>
              </c:strCache>
            </c:strRef>
          </c:cat>
          <c:val>
            <c:numRef>
              <c:f>'公表ベース（グラフ付き）'!$U$442:$U$446</c:f>
              <c:numCache>
                <c:formatCode>General</c:formatCode>
                <c:ptCount val="5"/>
                <c:pt idx="0">
                  <c:v>58</c:v>
                </c:pt>
                <c:pt idx="1">
                  <c:v>122</c:v>
                </c:pt>
                <c:pt idx="2">
                  <c:v>374</c:v>
                </c:pt>
                <c:pt idx="3">
                  <c:v>93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D31-4BEA-991B-3D2F28A9A5B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38842015470393"/>
          <c:y val="0.1478127802390716"/>
          <c:w val="0.57762379702537181"/>
          <c:h val="0.79978679588128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21D-4E7F-9E1B-653B3FF1C6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21D-4E7F-9E1B-653B3FF1C6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21D-4E7F-9E1B-653B3FF1C6B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21D-4E7F-9E1B-653B3FF1C6B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21D-4E7F-9E1B-653B3FF1C6B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21D-4E7F-9E1B-653B3FF1C6B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21D-4E7F-9E1B-653B3FF1C6B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21D-4E7F-9E1B-653B3FF1C6B4}"/>
              </c:ext>
            </c:extLst>
          </c:dPt>
          <c:dLbls>
            <c:dLbl>
              <c:idx val="0"/>
              <c:layout>
                <c:manualLayout>
                  <c:x val="-0.23513867911685715"/>
                  <c:y val="-0.1380169291842048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18550615308373"/>
                      <c:h val="0.244355578168916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21D-4E7F-9E1B-653B3FF1C6B4}"/>
                </c:ext>
              </c:extLst>
            </c:dLbl>
            <c:dLbl>
              <c:idx val="1"/>
              <c:layout>
                <c:manualLayout>
                  <c:x val="3.2964774261379733E-3"/>
                  <c:y val="0.1372397838549672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825041606156364"/>
                      <c:h val="0.26296659329417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21D-4E7F-9E1B-653B3FF1C6B4}"/>
                </c:ext>
              </c:extLst>
            </c:dLbl>
            <c:dLbl>
              <c:idx val="2"/>
              <c:layout>
                <c:manualLayout>
                  <c:x val="0.10079370502755181"/>
                  <c:y val="0.1207076749988436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242095368359088"/>
                      <c:h val="0.23598927709499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21D-4E7F-9E1B-653B3FF1C6B4}"/>
                </c:ext>
              </c:extLst>
            </c:dLbl>
            <c:dLbl>
              <c:idx val="3"/>
              <c:layout>
                <c:manualLayout>
                  <c:x val="1.2154970220591434E-3"/>
                  <c:y val="0.1477174714513877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6873848196851325"/>
                      <c:h val="0.220638531171520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21D-4E7F-9E1B-653B3FF1C6B4}"/>
                </c:ext>
              </c:extLst>
            </c:dLbl>
            <c:dLbl>
              <c:idx val="4"/>
              <c:layout>
                <c:manualLayout>
                  <c:x val="-0.14091438843927276"/>
                  <c:y val="1.05683262092177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191486785841691"/>
                      <c:h val="0.161479575872511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21D-4E7F-9E1B-653B3FF1C6B4}"/>
                </c:ext>
              </c:extLst>
            </c:dLbl>
            <c:dLbl>
              <c:idx val="5"/>
              <c:layout>
                <c:manualLayout>
                  <c:x val="-3.30947175040254E-3"/>
                  <c:y val="-4.44879922177126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57320934797378"/>
                      <c:h val="0.161479575872511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D21D-4E7F-9E1B-653B3FF1C6B4}"/>
                </c:ext>
              </c:extLst>
            </c:dLbl>
            <c:dLbl>
              <c:idx val="6"/>
              <c:layout>
                <c:manualLayout>
                  <c:x val="0.10566336059368341"/>
                  <c:y val="-1.454656205871068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47794967874611"/>
                      <c:h val="0.145497930786790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D21D-4E7F-9E1B-653B3FF1C6B4}"/>
                </c:ext>
              </c:extLst>
            </c:dLbl>
            <c:dLbl>
              <c:idx val="7"/>
              <c:layout>
                <c:manualLayout>
                  <c:x val="0.21875099206402573"/>
                  <c:y val="6.60277636444272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21D-4E7F-9E1B-653B3FF1C6B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'公表ベース（グラフ付き）'!$T$418:$T$425</c:f>
              <c:strCache>
                <c:ptCount val="8"/>
                <c:pt idx="0">
                  <c:v>通常業務で、業務内容の軽減はない</c:v>
                </c:pt>
                <c:pt idx="1">
                  <c:v>通常業務であるが、
業務内容は軽減
される</c:v>
                </c:pt>
                <c:pt idx="2">
                  <c:v>短時間勤務で、業務
内容の軽減はない</c:v>
                </c:pt>
                <c:pt idx="3">
                  <c:v>短時間勤務で、業務
内容も軽減される</c:v>
                </c:pt>
                <c:pt idx="4">
                  <c:v>勤務なし（休み）</c:v>
                </c:pt>
                <c:pt idx="5">
                  <c:v>日によって異なる</c:v>
                </c:pt>
                <c:pt idx="6">
                  <c:v>わからない</c:v>
                </c:pt>
                <c:pt idx="7">
                  <c:v>その他</c:v>
                </c:pt>
              </c:strCache>
            </c:strRef>
          </c:cat>
          <c:val>
            <c:numRef>
              <c:f>'公表ベース（グラフ付き）'!$U$418:$U$425</c:f>
              <c:numCache>
                <c:formatCode>General</c:formatCode>
                <c:ptCount val="8"/>
                <c:pt idx="0">
                  <c:v>315</c:v>
                </c:pt>
                <c:pt idx="1">
                  <c:v>30</c:v>
                </c:pt>
                <c:pt idx="2">
                  <c:v>51</c:v>
                </c:pt>
                <c:pt idx="3">
                  <c:v>22</c:v>
                </c:pt>
                <c:pt idx="4">
                  <c:v>17</c:v>
                </c:pt>
                <c:pt idx="5">
                  <c:v>22</c:v>
                </c:pt>
                <c:pt idx="6">
                  <c:v>2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21D-4E7F-9E1B-653B3FF1C6B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18810148731409"/>
          <c:y val="0.15138865334140925"/>
          <c:w val="0.57762379702537181"/>
          <c:h val="0.79978679588128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792-45E7-A341-6280F0FF60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792-45E7-A341-6280F0FF60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792-45E7-A341-6280F0FF60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792-45E7-A341-6280F0FF60BD}"/>
              </c:ext>
            </c:extLst>
          </c:dPt>
          <c:dLbls>
            <c:dLbl>
              <c:idx val="0"/>
              <c:layout>
                <c:manualLayout>
                  <c:x val="-0.113483352010835"/>
                  <c:y val="0.164527388373163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792-45E7-A341-6280F0FF60BD}"/>
                </c:ext>
              </c:extLst>
            </c:dLbl>
            <c:dLbl>
              <c:idx val="1"/>
              <c:layout>
                <c:manualLayout>
                  <c:x val="5.4347927158762382E-2"/>
                  <c:y val="-0.210243041381147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792-45E7-A341-6280F0FF60BD}"/>
                </c:ext>
              </c:extLst>
            </c:dLbl>
            <c:dLbl>
              <c:idx val="2"/>
              <c:layout>
                <c:manualLayout>
                  <c:x val="0.13334100131433776"/>
                  <c:y val="0.1790872451533810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935127767642859"/>
                      <c:h val="0.183001792683989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792-45E7-A341-6280F0FF60B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'公表ベース（グラフ付き）'!$T$460:$T$463</c:f>
              <c:strCache>
                <c:ptCount val="4"/>
                <c:pt idx="0">
                  <c:v>満足</c:v>
                </c:pt>
                <c:pt idx="1">
                  <c:v>どちらかと
いうと満足</c:v>
                </c:pt>
                <c:pt idx="2">
                  <c:v>どちらかと
いうと不満</c:v>
                </c:pt>
                <c:pt idx="3">
                  <c:v>不満</c:v>
                </c:pt>
              </c:strCache>
            </c:strRef>
          </c:cat>
          <c:val>
            <c:numRef>
              <c:f>'公表ベース（グラフ付き）'!$U$460:$U$463</c:f>
              <c:numCache>
                <c:formatCode>General</c:formatCode>
                <c:ptCount val="4"/>
                <c:pt idx="0">
                  <c:v>161</c:v>
                </c:pt>
                <c:pt idx="1">
                  <c:v>377</c:v>
                </c:pt>
                <c:pt idx="2">
                  <c:v>95</c:v>
                </c:pt>
                <c:pt idx="3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92-45E7-A341-6280F0FF60B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13" Type="http://schemas.openxmlformats.org/officeDocument/2006/relationships/chart" Target="../charts/chart13.xml" />
  <Relationship Id="rId18" Type="http://schemas.openxmlformats.org/officeDocument/2006/relationships/chart" Target="../charts/chart18.xml" />
  <Relationship Id="rId3" Type="http://schemas.openxmlformats.org/officeDocument/2006/relationships/chart" Target="../charts/chart3.xml" />
  <Relationship Id="rId21" Type="http://schemas.openxmlformats.org/officeDocument/2006/relationships/chart" Target="../charts/chart21.xml" />
  <Relationship Id="rId7" Type="http://schemas.openxmlformats.org/officeDocument/2006/relationships/chart" Target="../charts/chart7.xml" />
  <Relationship Id="rId12" Type="http://schemas.openxmlformats.org/officeDocument/2006/relationships/chart" Target="../charts/chart12.xml" />
  <Relationship Id="rId17" Type="http://schemas.openxmlformats.org/officeDocument/2006/relationships/chart" Target="../charts/chart17.xml" />
  <Relationship Id="rId25" Type="http://schemas.openxmlformats.org/officeDocument/2006/relationships/chart" Target="../charts/chart25.xml" />
  <Relationship Id="rId2" Type="http://schemas.openxmlformats.org/officeDocument/2006/relationships/chart" Target="../charts/chart2.xml" />
  <Relationship Id="rId16" Type="http://schemas.openxmlformats.org/officeDocument/2006/relationships/chart" Target="../charts/chart16.xml" />
  <Relationship Id="rId20" Type="http://schemas.openxmlformats.org/officeDocument/2006/relationships/chart" Target="../charts/chart20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24" Type="http://schemas.openxmlformats.org/officeDocument/2006/relationships/chart" Target="../charts/chart24.xml" />
  <Relationship Id="rId5" Type="http://schemas.openxmlformats.org/officeDocument/2006/relationships/chart" Target="../charts/chart5.xml" />
  <Relationship Id="rId15" Type="http://schemas.openxmlformats.org/officeDocument/2006/relationships/chart" Target="../charts/chart15.xml" />
  <Relationship Id="rId23" Type="http://schemas.openxmlformats.org/officeDocument/2006/relationships/chart" Target="../charts/chart23.xml" />
  <Relationship Id="rId10" Type="http://schemas.openxmlformats.org/officeDocument/2006/relationships/chart" Target="../charts/chart10.xml" />
  <Relationship Id="rId19" Type="http://schemas.openxmlformats.org/officeDocument/2006/relationships/chart" Target="../charts/chart19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  <Relationship Id="rId14" Type="http://schemas.openxmlformats.org/officeDocument/2006/relationships/chart" Target="../charts/chart14.xml" />
  <Relationship Id="rId22" Type="http://schemas.openxmlformats.org/officeDocument/2006/relationships/chart" Target="../charts/chart22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278</xdr:row>
      <xdr:rowOff>180975</xdr:rowOff>
    </xdr:from>
    <xdr:to>
      <xdr:col>11</xdr:col>
      <xdr:colOff>581025</xdr:colOff>
      <xdr:row>300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417051</xdr:colOff>
      <xdr:row>296</xdr:row>
      <xdr:rowOff>124393</xdr:rowOff>
    </xdr:from>
    <xdr:to>
      <xdr:col>20</xdr:col>
      <xdr:colOff>274670</xdr:colOff>
      <xdr:row>315</xdr:row>
      <xdr:rowOff>115735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295275</xdr:colOff>
      <xdr:row>330</xdr:row>
      <xdr:rowOff>43006</xdr:rowOff>
    </xdr:from>
    <xdr:to>
      <xdr:col>10</xdr:col>
      <xdr:colOff>462642</xdr:colOff>
      <xdr:row>350</xdr:row>
      <xdr:rowOff>102054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417059</xdr:colOff>
      <xdr:row>352</xdr:row>
      <xdr:rowOff>115054</xdr:rowOff>
    </xdr:from>
    <xdr:to>
      <xdr:col>20</xdr:col>
      <xdr:colOff>245806</xdr:colOff>
      <xdr:row>371</xdr:row>
      <xdr:rowOff>163871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233516</xdr:colOff>
      <xdr:row>373</xdr:row>
      <xdr:rowOff>94403</xdr:rowOff>
    </xdr:from>
    <xdr:to>
      <xdr:col>20</xdr:col>
      <xdr:colOff>249536</xdr:colOff>
      <xdr:row>392</xdr:row>
      <xdr:rowOff>83197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146157</xdr:colOff>
      <xdr:row>391</xdr:row>
      <xdr:rowOff>135373</xdr:rowOff>
    </xdr:from>
    <xdr:to>
      <xdr:col>20</xdr:col>
      <xdr:colOff>162177</xdr:colOff>
      <xdr:row>412</xdr:row>
      <xdr:rowOff>17289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201344</xdr:colOff>
      <xdr:row>436</xdr:row>
      <xdr:rowOff>142786</xdr:rowOff>
    </xdr:from>
    <xdr:to>
      <xdr:col>19</xdr:col>
      <xdr:colOff>630301</xdr:colOff>
      <xdr:row>455</xdr:row>
      <xdr:rowOff>2290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92178</xdr:colOff>
      <xdr:row>416</xdr:row>
      <xdr:rowOff>163058</xdr:rowOff>
    </xdr:from>
    <xdr:to>
      <xdr:col>19</xdr:col>
      <xdr:colOff>531756</xdr:colOff>
      <xdr:row>433</xdr:row>
      <xdr:rowOff>143387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184336</xdr:colOff>
      <xdr:row>453</xdr:row>
      <xdr:rowOff>105368</xdr:rowOff>
    </xdr:from>
    <xdr:to>
      <xdr:col>19</xdr:col>
      <xdr:colOff>542927</xdr:colOff>
      <xdr:row>471</xdr:row>
      <xdr:rowOff>110890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170018</xdr:colOff>
      <xdr:row>470</xdr:row>
      <xdr:rowOff>59031</xdr:rowOff>
    </xdr:from>
    <xdr:to>
      <xdr:col>19</xdr:col>
      <xdr:colOff>528609</xdr:colOff>
      <xdr:row>488</xdr:row>
      <xdr:rowOff>64553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139291</xdr:colOff>
      <xdr:row>486</xdr:row>
      <xdr:rowOff>119738</xdr:rowOff>
    </xdr:from>
    <xdr:to>
      <xdr:col>19</xdr:col>
      <xdr:colOff>497882</xdr:colOff>
      <xdr:row>504</xdr:row>
      <xdr:rowOff>125259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39457</xdr:colOff>
      <xdr:row>501</xdr:row>
      <xdr:rowOff>173112</xdr:rowOff>
    </xdr:from>
    <xdr:to>
      <xdr:col>19</xdr:col>
      <xdr:colOff>400158</xdr:colOff>
      <xdr:row>520</xdr:row>
      <xdr:rowOff>16897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115841</xdr:colOff>
      <xdr:row>517</xdr:row>
      <xdr:rowOff>158957</xdr:rowOff>
    </xdr:from>
    <xdr:to>
      <xdr:col>19</xdr:col>
      <xdr:colOff>476542</xdr:colOff>
      <xdr:row>536</xdr:row>
      <xdr:rowOff>10206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81839</xdr:colOff>
      <xdr:row>532</xdr:row>
      <xdr:rowOff>44384</xdr:rowOff>
    </xdr:from>
    <xdr:to>
      <xdr:col>19</xdr:col>
      <xdr:colOff>546449</xdr:colOff>
      <xdr:row>551</xdr:row>
      <xdr:rowOff>44384</xdr:rowOff>
    </xdr:to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133396</xdr:colOff>
      <xdr:row>549</xdr:row>
      <xdr:rowOff>150138</xdr:rowOff>
    </xdr:from>
    <xdr:to>
      <xdr:col>19</xdr:col>
      <xdr:colOff>598006</xdr:colOff>
      <xdr:row>568</xdr:row>
      <xdr:rowOff>138933</xdr:rowOff>
    </xdr:to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250712</xdr:colOff>
      <xdr:row>565</xdr:row>
      <xdr:rowOff>137966</xdr:rowOff>
    </xdr:from>
    <xdr:to>
      <xdr:col>20</xdr:col>
      <xdr:colOff>59838</xdr:colOff>
      <xdr:row>586</xdr:row>
      <xdr:rowOff>63743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58955</xdr:colOff>
      <xdr:row>595</xdr:row>
      <xdr:rowOff>156848</xdr:rowOff>
    </xdr:from>
    <xdr:to>
      <xdr:col>10</xdr:col>
      <xdr:colOff>11502</xdr:colOff>
      <xdr:row>616</xdr:row>
      <xdr:rowOff>55410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352132</xdr:colOff>
      <xdr:row>596</xdr:row>
      <xdr:rowOff>818</xdr:rowOff>
    </xdr:from>
    <xdr:to>
      <xdr:col>15</xdr:col>
      <xdr:colOff>611757</xdr:colOff>
      <xdr:row>616</xdr:row>
      <xdr:rowOff>63251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609110</xdr:colOff>
      <xdr:row>614</xdr:row>
      <xdr:rowOff>31754</xdr:rowOff>
    </xdr:from>
    <xdr:to>
      <xdr:col>19</xdr:col>
      <xdr:colOff>386787</xdr:colOff>
      <xdr:row>629</xdr:row>
      <xdr:rowOff>128389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14</xdr:col>
      <xdr:colOff>30725</xdr:colOff>
      <xdr:row>633</xdr:row>
      <xdr:rowOff>112664</xdr:rowOff>
    </xdr:from>
    <xdr:to>
      <xdr:col>19</xdr:col>
      <xdr:colOff>450645</xdr:colOff>
      <xdr:row>653</xdr:row>
      <xdr:rowOff>40970</xdr:rowOff>
    </xdr:to>
    <xdr:graphicFrame macro="">
      <xdr:nvGraphicFramePr>
        <xdr:cNvPr id="23" name="グラフ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286774</xdr:colOff>
      <xdr:row>656</xdr:row>
      <xdr:rowOff>0</xdr:rowOff>
    </xdr:from>
    <xdr:to>
      <xdr:col>19</xdr:col>
      <xdr:colOff>133145</xdr:colOff>
      <xdr:row>674</xdr:row>
      <xdr:rowOff>10243</xdr:rowOff>
    </xdr:to>
    <xdr:graphicFrame macro="">
      <xdr:nvGraphicFramePr>
        <xdr:cNvPr id="25" name="グラフ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629512</xdr:colOff>
      <xdr:row>701</xdr:row>
      <xdr:rowOff>9761</xdr:rowOff>
    </xdr:from>
    <xdr:to>
      <xdr:col>13</xdr:col>
      <xdr:colOff>130584</xdr:colOff>
      <xdr:row>723</xdr:row>
      <xdr:rowOff>111814</xdr:rowOff>
    </xdr:to>
    <xdr:graphicFrame macro="">
      <xdr:nvGraphicFramePr>
        <xdr:cNvPr id="26" name="グラフ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520722</xdr:colOff>
      <xdr:row>745</xdr:row>
      <xdr:rowOff>137080</xdr:rowOff>
    </xdr:from>
    <xdr:to>
      <xdr:col>13</xdr:col>
      <xdr:colOff>21794</xdr:colOff>
      <xdr:row>768</xdr:row>
      <xdr:rowOff>101319</xdr:rowOff>
    </xdr:to>
    <xdr:graphicFrame macro="">
      <xdr:nvGraphicFramePr>
        <xdr:cNvPr id="29" name="グラフ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605118</xdr:colOff>
      <xdr:row>796</xdr:row>
      <xdr:rowOff>89646</xdr:rowOff>
    </xdr:from>
    <xdr:to>
      <xdr:col>13</xdr:col>
      <xdr:colOff>106190</xdr:colOff>
      <xdr:row>819</xdr:row>
      <xdr:rowOff>24594</xdr:rowOff>
    </xdr:to>
    <xdr:graphicFrame macro="">
      <xdr:nvGraphicFramePr>
        <xdr:cNvPr id="30" name="グラフ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636494</xdr:colOff>
      <xdr:row>851</xdr:row>
      <xdr:rowOff>33618</xdr:rowOff>
    </xdr:from>
    <xdr:to>
      <xdr:col>13</xdr:col>
      <xdr:colOff>137566</xdr:colOff>
      <xdr:row>873</xdr:row>
      <xdr:rowOff>136654</xdr:rowOff>
    </xdr:to>
    <xdr:graphicFrame macro="">
      <xdr:nvGraphicFramePr>
        <xdr:cNvPr id="31" name="グラフ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F1160"/>
  <sheetViews>
    <sheetView showGridLines="0" tabSelected="1" view="pageBreakPreview" zoomScale="80" zoomScaleNormal="100" zoomScaleSheetLayoutView="80" workbookViewId="0">
      <selection activeCell="N33" sqref="N33"/>
    </sheetView>
  </sheetViews>
  <sheetFormatPr defaultRowHeight="13.5" x14ac:dyDescent="0.15"/>
  <cols>
    <col min="1" max="1" width="1.25" style="1" customWidth="1"/>
    <col min="2" max="2" width="4.625" style="2" customWidth="1"/>
    <col min="3" max="4" width="2.625" style="2" customWidth="1"/>
    <col min="5" max="5" width="10.625" style="2" customWidth="1"/>
    <col min="6" max="19" width="8.625" style="2" customWidth="1"/>
    <col min="20" max="20" width="8.625" style="1" customWidth="1"/>
    <col min="21" max="21" width="5.875" style="6" customWidth="1"/>
    <col min="22" max="22" width="5.875" style="1" customWidth="1"/>
    <col min="23" max="23" width="27" style="1" customWidth="1"/>
    <col min="24" max="24" width="3.5" style="1" bestFit="1" customWidth="1"/>
    <col min="25" max="28" width="9.5" style="1" bestFit="1" customWidth="1"/>
    <col min="29" max="29" width="8.5" style="1" bestFit="1" customWidth="1"/>
    <col min="30" max="30" width="3.125" style="1" customWidth="1"/>
    <col min="31" max="37" width="9.5" style="1" bestFit="1" customWidth="1"/>
    <col min="38" max="39" width="8.5" style="1" bestFit="1" customWidth="1"/>
    <col min="40" max="40" width="4.5" style="7" bestFit="1" customWidth="1"/>
    <col min="41" max="41" width="9.125" style="1" bestFit="1" customWidth="1"/>
    <col min="42" max="43" width="9" style="1"/>
    <col min="44" max="44" width="9.125" style="1" bestFit="1" customWidth="1"/>
    <col min="45" max="16384" width="9" style="1"/>
  </cols>
  <sheetData>
    <row r="1" spans="1:41" ht="20.25" customHeight="1" x14ac:dyDescent="0.15">
      <c r="A1" s="217" t="s">
        <v>186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120"/>
    </row>
    <row r="2" spans="1:41" x14ac:dyDescent="0.15">
      <c r="R2" s="8" t="s">
        <v>256</v>
      </c>
      <c r="S2" s="8"/>
    </row>
    <row r="3" spans="1:41" x14ac:dyDescent="0.15">
      <c r="R3" s="8"/>
      <c r="S3" s="8"/>
    </row>
    <row r="4" spans="1:41" x14ac:dyDescent="0.15">
      <c r="B4" s="4" t="s">
        <v>187</v>
      </c>
      <c r="R4" s="8"/>
      <c r="S4" s="8"/>
    </row>
    <row r="5" spans="1:41" x14ac:dyDescent="0.15">
      <c r="B5" s="1" t="s">
        <v>188</v>
      </c>
      <c r="R5" s="8"/>
      <c r="S5" s="8"/>
    </row>
    <row r="6" spans="1:41" x14ac:dyDescent="0.15">
      <c r="B6" s="1"/>
      <c r="R6" s="8"/>
      <c r="S6" s="8"/>
    </row>
    <row r="7" spans="1:41" x14ac:dyDescent="0.15">
      <c r="B7" s="4" t="s">
        <v>189</v>
      </c>
      <c r="R7" s="8"/>
      <c r="S7" s="8"/>
    </row>
    <row r="8" spans="1:41" x14ac:dyDescent="0.15">
      <c r="B8" s="1" t="s">
        <v>190</v>
      </c>
      <c r="R8" s="8"/>
      <c r="S8" s="8"/>
    </row>
    <row r="9" spans="1:41" x14ac:dyDescent="0.15">
      <c r="B9" s="1"/>
      <c r="R9" s="8"/>
      <c r="S9" s="8"/>
    </row>
    <row r="10" spans="1:41" x14ac:dyDescent="0.15">
      <c r="B10" s="1"/>
      <c r="C10" s="218" t="s">
        <v>191</v>
      </c>
      <c r="D10" s="219"/>
      <c r="E10" s="219"/>
      <c r="F10" s="219"/>
      <c r="G10" s="219"/>
      <c r="H10" s="219"/>
      <c r="I10" s="219"/>
      <c r="J10" s="219"/>
      <c r="K10" s="219"/>
      <c r="L10" s="220"/>
      <c r="M10" s="127">
        <v>45</v>
      </c>
      <c r="T10" s="8"/>
      <c r="U10" s="9"/>
      <c r="V10" s="8"/>
      <c r="AN10" s="1"/>
      <c r="AO10" s="7"/>
    </row>
    <row r="11" spans="1:41" x14ac:dyDescent="0.15">
      <c r="B11" s="1"/>
      <c r="C11" s="221" t="s">
        <v>241</v>
      </c>
      <c r="D11" s="222"/>
      <c r="E11" s="222"/>
      <c r="F11" s="222"/>
      <c r="G11" s="222"/>
      <c r="H11" s="222"/>
      <c r="I11" s="222"/>
      <c r="J11" s="222"/>
      <c r="K11" s="222"/>
      <c r="L11" s="223"/>
      <c r="M11" s="127">
        <v>5</v>
      </c>
      <c r="T11" s="8"/>
      <c r="U11" s="9"/>
      <c r="V11" s="8"/>
      <c r="AN11" s="1"/>
      <c r="AO11" s="7"/>
    </row>
    <row r="12" spans="1:41" x14ac:dyDescent="0.15">
      <c r="B12" s="1"/>
      <c r="C12" s="218" t="s">
        <v>192</v>
      </c>
      <c r="D12" s="219"/>
      <c r="E12" s="219"/>
      <c r="F12" s="219"/>
      <c r="G12" s="219"/>
      <c r="H12" s="219"/>
      <c r="I12" s="219"/>
      <c r="J12" s="219"/>
      <c r="K12" s="219"/>
      <c r="L12" s="220"/>
      <c r="M12" s="127">
        <v>25</v>
      </c>
      <c r="T12" s="8"/>
      <c r="U12" s="9"/>
      <c r="V12" s="8"/>
      <c r="AN12" s="1"/>
      <c r="AO12" s="7"/>
    </row>
    <row r="13" spans="1:41" x14ac:dyDescent="0.15">
      <c r="B13" s="1"/>
      <c r="R13" s="8"/>
      <c r="S13" s="8"/>
    </row>
    <row r="14" spans="1:41" x14ac:dyDescent="0.15">
      <c r="B14" s="4" t="s">
        <v>193</v>
      </c>
      <c r="R14" s="8"/>
      <c r="S14" s="8"/>
    </row>
    <row r="15" spans="1:41" x14ac:dyDescent="0.15">
      <c r="B15" s="1" t="s">
        <v>257</v>
      </c>
      <c r="R15" s="8"/>
      <c r="S15" s="8"/>
    </row>
    <row r="16" spans="1:41" x14ac:dyDescent="0.15">
      <c r="B16" s="1" t="s">
        <v>194</v>
      </c>
      <c r="R16" s="8"/>
      <c r="S16" s="8"/>
    </row>
    <row r="17" spans="2:23" x14ac:dyDescent="0.15">
      <c r="B17" s="1"/>
      <c r="R17" s="8"/>
      <c r="S17" s="8"/>
    </row>
    <row r="18" spans="2:23" x14ac:dyDescent="0.15">
      <c r="B18" s="4" t="s">
        <v>195</v>
      </c>
      <c r="R18" s="8"/>
      <c r="S18" s="8"/>
    </row>
    <row r="19" spans="2:23" x14ac:dyDescent="0.15">
      <c r="B19" s="1" t="s">
        <v>196</v>
      </c>
      <c r="R19" s="8"/>
      <c r="S19" s="8"/>
    </row>
    <row r="20" spans="2:23" x14ac:dyDescent="0.15">
      <c r="B20" s="1"/>
      <c r="R20" s="8"/>
      <c r="S20" s="8"/>
    </row>
    <row r="21" spans="2:23" x14ac:dyDescent="0.15">
      <c r="R21" s="8"/>
      <c r="S21" s="8"/>
    </row>
    <row r="22" spans="2:23" ht="14.25" thickBot="1" x14ac:dyDescent="0.2">
      <c r="B22" s="3" t="s">
        <v>198</v>
      </c>
      <c r="F22" s="10"/>
    </row>
    <row r="23" spans="2:23" x14ac:dyDescent="0.15">
      <c r="D23" s="224"/>
      <c r="E23" s="225"/>
      <c r="F23" s="184" t="s">
        <v>265</v>
      </c>
      <c r="G23" s="185"/>
      <c r="H23" s="185"/>
      <c r="I23" s="186"/>
      <c r="J23" s="184" t="s">
        <v>60</v>
      </c>
      <c r="K23" s="185"/>
      <c r="L23" s="185"/>
      <c r="M23" s="186"/>
      <c r="N23" s="178" t="s">
        <v>9</v>
      </c>
      <c r="O23" s="197"/>
      <c r="P23" s="197"/>
      <c r="Q23" s="198"/>
      <c r="R23" s="11"/>
      <c r="S23" s="11"/>
      <c r="T23" s="2"/>
      <c r="U23" s="12"/>
      <c r="V23" s="2"/>
      <c r="W23" s="2"/>
    </row>
    <row r="24" spans="2:23" x14ac:dyDescent="0.15">
      <c r="D24" s="226"/>
      <c r="E24" s="227"/>
      <c r="F24" s="124"/>
      <c r="G24" s="128" t="s">
        <v>11</v>
      </c>
      <c r="H24" s="13" t="s">
        <v>12</v>
      </c>
      <c r="I24" s="14" t="s">
        <v>13</v>
      </c>
      <c r="J24" s="124"/>
      <c r="K24" s="128" t="s">
        <v>11</v>
      </c>
      <c r="L24" s="13" t="s">
        <v>12</v>
      </c>
      <c r="M24" s="14" t="s">
        <v>13</v>
      </c>
      <c r="N24" s="15"/>
      <c r="O24" s="122" t="s">
        <v>11</v>
      </c>
      <c r="P24" s="13" t="s">
        <v>12</v>
      </c>
      <c r="Q24" s="13" t="s">
        <v>13</v>
      </c>
      <c r="R24" s="16"/>
      <c r="S24" s="16"/>
      <c r="T24" s="2"/>
      <c r="U24" s="12"/>
      <c r="V24" s="2"/>
      <c r="W24" s="2"/>
    </row>
    <row r="25" spans="2:23" x14ac:dyDescent="0.15">
      <c r="D25" s="228" t="s">
        <v>14</v>
      </c>
      <c r="E25" s="229"/>
      <c r="F25" s="17">
        <f>SUM(G25:I25)</f>
        <v>1755</v>
      </c>
      <c r="G25" s="154">
        <v>139</v>
      </c>
      <c r="H25" s="154">
        <v>619</v>
      </c>
      <c r="I25" s="155">
        <v>997</v>
      </c>
      <c r="J25" s="17">
        <f>SUM(K25:M25)</f>
        <v>1779</v>
      </c>
      <c r="K25" s="154">
        <v>126</v>
      </c>
      <c r="L25" s="154">
        <v>612</v>
      </c>
      <c r="M25" s="155">
        <v>1041</v>
      </c>
      <c r="N25" s="19">
        <f>SUM(O25:Q25)</f>
        <v>1663</v>
      </c>
      <c r="O25" s="18">
        <v>136</v>
      </c>
      <c r="P25" s="18">
        <v>547</v>
      </c>
      <c r="Q25" s="18">
        <v>980</v>
      </c>
      <c r="R25" s="8"/>
      <c r="S25" s="8"/>
      <c r="T25" s="2"/>
      <c r="U25" s="12"/>
      <c r="V25" s="2"/>
      <c r="W25" s="2"/>
    </row>
    <row r="26" spans="2:23" x14ac:dyDescent="0.15">
      <c r="D26" s="188" t="s">
        <v>15</v>
      </c>
      <c r="E26" s="229"/>
      <c r="F26" s="17">
        <f>SUM(G26:I26)</f>
        <v>670</v>
      </c>
      <c r="G26" s="154">
        <f t="shared" ref="G26:H26" si="0">SUM(G27:G31)</f>
        <v>61</v>
      </c>
      <c r="H26" s="154">
        <f t="shared" si="0"/>
        <v>186</v>
      </c>
      <c r="I26" s="155">
        <f>SUM(I27:I31)</f>
        <v>423</v>
      </c>
      <c r="J26" s="17">
        <f>SUM(K26:M26)</f>
        <v>711</v>
      </c>
      <c r="K26" s="154">
        <v>76</v>
      </c>
      <c r="L26" s="154">
        <v>218</v>
      </c>
      <c r="M26" s="155">
        <v>417</v>
      </c>
      <c r="N26" s="20">
        <f>SUM(O26:Q26)</f>
        <v>787</v>
      </c>
      <c r="O26" s="18">
        <v>66</v>
      </c>
      <c r="P26" s="18">
        <v>256</v>
      </c>
      <c r="Q26" s="18">
        <v>465</v>
      </c>
      <c r="R26" s="8"/>
      <c r="S26" s="8"/>
      <c r="T26" s="2"/>
      <c r="U26" s="12"/>
      <c r="V26" s="2"/>
      <c r="W26" s="2"/>
    </row>
    <row r="27" spans="2:23" x14ac:dyDescent="0.15">
      <c r="D27" s="230" t="s">
        <v>174</v>
      </c>
      <c r="E27" s="21" t="s">
        <v>175</v>
      </c>
      <c r="F27" s="77">
        <f>G27+H27+I27</f>
        <v>50</v>
      </c>
      <c r="G27" s="153">
        <v>50</v>
      </c>
      <c r="H27" s="153">
        <v>0</v>
      </c>
      <c r="I27" s="156">
        <v>0</v>
      </c>
      <c r="J27" s="77">
        <f>K27+L27+M27</f>
        <v>67</v>
      </c>
      <c r="K27" s="153">
        <v>67</v>
      </c>
      <c r="L27" s="153">
        <v>0</v>
      </c>
      <c r="M27" s="156">
        <v>0</v>
      </c>
      <c r="N27" s="78">
        <f t="shared" ref="N27:N32" si="1">O27+P27+Q27</f>
        <v>83</v>
      </c>
      <c r="O27" s="153">
        <v>51</v>
      </c>
      <c r="P27" s="153">
        <v>9</v>
      </c>
      <c r="Q27" s="153">
        <v>23</v>
      </c>
      <c r="R27" s="8"/>
      <c r="S27" s="8"/>
      <c r="T27" s="2"/>
      <c r="U27" s="12"/>
      <c r="V27" s="2"/>
      <c r="W27" s="2"/>
    </row>
    <row r="28" spans="2:23" x14ac:dyDescent="0.15">
      <c r="D28" s="231"/>
      <c r="E28" s="27" t="s">
        <v>176</v>
      </c>
      <c r="F28" s="77">
        <f>G28+H28+I28</f>
        <v>59</v>
      </c>
      <c r="G28" s="153">
        <v>11</v>
      </c>
      <c r="H28" s="153">
        <v>0</v>
      </c>
      <c r="I28" s="156">
        <v>48</v>
      </c>
      <c r="J28" s="77">
        <f>K28+L28+M28</f>
        <v>82</v>
      </c>
      <c r="K28" s="153">
        <v>9</v>
      </c>
      <c r="L28" s="153">
        <v>0</v>
      </c>
      <c r="M28" s="156">
        <v>73</v>
      </c>
      <c r="N28" s="78">
        <f t="shared" si="1"/>
        <v>70</v>
      </c>
      <c r="O28" s="153">
        <v>10</v>
      </c>
      <c r="P28" s="153">
        <v>0</v>
      </c>
      <c r="Q28" s="153">
        <v>60</v>
      </c>
      <c r="R28" s="8"/>
      <c r="S28" s="8"/>
      <c r="T28" s="2"/>
      <c r="U28" s="12"/>
      <c r="V28" s="2"/>
      <c r="W28" s="2"/>
    </row>
    <row r="29" spans="2:23" x14ac:dyDescent="0.15">
      <c r="D29" s="231"/>
      <c r="E29" s="27" t="s">
        <v>177</v>
      </c>
      <c r="F29" s="77">
        <f>G29+H29+I29</f>
        <v>205</v>
      </c>
      <c r="G29" s="153">
        <v>0</v>
      </c>
      <c r="H29" s="153">
        <v>26</v>
      </c>
      <c r="I29" s="156">
        <v>179</v>
      </c>
      <c r="J29" s="77">
        <f>K29+L29+M29</f>
        <v>199</v>
      </c>
      <c r="K29" s="153">
        <v>0</v>
      </c>
      <c r="L29" s="153">
        <v>34</v>
      </c>
      <c r="M29" s="156">
        <v>165</v>
      </c>
      <c r="N29" s="78">
        <f t="shared" si="1"/>
        <v>175</v>
      </c>
      <c r="O29" s="153">
        <v>0</v>
      </c>
      <c r="P29" s="153">
        <v>12</v>
      </c>
      <c r="Q29" s="153">
        <v>163</v>
      </c>
      <c r="R29" s="8"/>
      <c r="S29" s="8"/>
      <c r="T29" s="2"/>
      <c r="U29" s="12"/>
      <c r="V29" s="2"/>
      <c r="W29" s="2"/>
    </row>
    <row r="30" spans="2:23" x14ac:dyDescent="0.15">
      <c r="D30" s="231"/>
      <c r="E30" s="27" t="s">
        <v>178</v>
      </c>
      <c r="F30" s="77">
        <f>G30+H30+I30</f>
        <v>356</v>
      </c>
      <c r="G30" s="153">
        <v>0</v>
      </c>
      <c r="H30" s="153">
        <v>160</v>
      </c>
      <c r="I30" s="156">
        <v>196</v>
      </c>
      <c r="J30" s="77">
        <f>K30+L30+M30</f>
        <v>251</v>
      </c>
      <c r="K30" s="153">
        <v>0</v>
      </c>
      <c r="L30" s="153">
        <v>117</v>
      </c>
      <c r="M30" s="156">
        <v>134</v>
      </c>
      <c r="N30" s="78">
        <f t="shared" si="1"/>
        <v>246</v>
      </c>
      <c r="O30" s="153">
        <v>0</v>
      </c>
      <c r="P30" s="153">
        <v>151</v>
      </c>
      <c r="Q30" s="153">
        <v>95</v>
      </c>
      <c r="R30" s="8"/>
      <c r="S30" s="8"/>
      <c r="T30" s="2"/>
      <c r="U30" s="12"/>
      <c r="V30" s="2"/>
      <c r="W30" s="2"/>
    </row>
    <row r="31" spans="2:23" x14ac:dyDescent="0.15">
      <c r="D31" s="231"/>
      <c r="E31" s="27" t="s">
        <v>179</v>
      </c>
      <c r="F31" s="77">
        <f t="shared" ref="F31" si="2">G31+H31+I31</f>
        <v>0</v>
      </c>
      <c r="G31" s="153">
        <v>0</v>
      </c>
      <c r="H31" s="153">
        <v>0</v>
      </c>
      <c r="I31" s="156"/>
      <c r="J31" s="77">
        <f t="shared" ref="J31" si="3">K31+L31+M31</f>
        <v>112</v>
      </c>
      <c r="K31" s="153">
        <v>0</v>
      </c>
      <c r="L31" s="153">
        <v>67</v>
      </c>
      <c r="M31" s="156">
        <v>45</v>
      </c>
      <c r="N31" s="78">
        <f t="shared" si="1"/>
        <v>115</v>
      </c>
      <c r="O31" s="153">
        <v>0</v>
      </c>
      <c r="P31" s="153">
        <v>63</v>
      </c>
      <c r="Q31" s="153">
        <v>52</v>
      </c>
      <c r="R31" s="8"/>
      <c r="S31" s="8"/>
      <c r="T31" s="2"/>
      <c r="U31" s="12"/>
      <c r="V31" s="2"/>
      <c r="W31" s="2"/>
    </row>
    <row r="32" spans="2:23" x14ac:dyDescent="0.15">
      <c r="D32" s="232"/>
      <c r="E32" s="27" t="s">
        <v>83</v>
      </c>
      <c r="F32" s="157" t="s">
        <v>7</v>
      </c>
      <c r="G32" s="158" t="s">
        <v>7</v>
      </c>
      <c r="H32" s="158" t="s">
        <v>7</v>
      </c>
      <c r="I32" s="159" t="s">
        <v>7</v>
      </c>
      <c r="J32" s="157" t="s">
        <v>7</v>
      </c>
      <c r="K32" s="158" t="s">
        <v>7</v>
      </c>
      <c r="L32" s="158" t="s">
        <v>7</v>
      </c>
      <c r="M32" s="159" t="s">
        <v>7</v>
      </c>
      <c r="N32" s="78">
        <f t="shared" si="1"/>
        <v>98</v>
      </c>
      <c r="O32" s="153">
        <v>5</v>
      </c>
      <c r="P32" s="153">
        <v>21</v>
      </c>
      <c r="Q32" s="153">
        <v>72</v>
      </c>
      <c r="R32" s="8"/>
      <c r="S32" s="8"/>
      <c r="T32" s="2"/>
      <c r="U32" s="12"/>
      <c r="V32" s="2"/>
      <c r="W32" s="2"/>
    </row>
    <row r="33" spans="1:23" ht="14.25" thickBot="1" x14ac:dyDescent="0.2">
      <c r="D33" s="228" t="s">
        <v>16</v>
      </c>
      <c r="E33" s="229"/>
      <c r="F33" s="28">
        <f t="shared" ref="F33:K33" si="4">ROUND(F26/F25,3)</f>
        <v>0.38200000000000001</v>
      </c>
      <c r="G33" s="29">
        <f t="shared" si="4"/>
        <v>0.439</v>
      </c>
      <c r="H33" s="29">
        <f t="shared" si="4"/>
        <v>0.3</v>
      </c>
      <c r="I33" s="30">
        <f t="shared" si="4"/>
        <v>0.42399999999999999</v>
      </c>
      <c r="J33" s="28">
        <f t="shared" si="4"/>
        <v>0.4</v>
      </c>
      <c r="K33" s="29">
        <f t="shared" si="4"/>
        <v>0.60299999999999998</v>
      </c>
      <c r="L33" s="29">
        <f t="shared" ref="L33:Q33" si="5">ROUND(L26/L25,3)</f>
        <v>0.35599999999999998</v>
      </c>
      <c r="M33" s="30">
        <f t="shared" si="5"/>
        <v>0.40100000000000002</v>
      </c>
      <c r="N33" s="31">
        <f t="shared" si="5"/>
        <v>0.47299999999999998</v>
      </c>
      <c r="O33" s="32">
        <f t="shared" si="5"/>
        <v>0.48499999999999999</v>
      </c>
      <c r="P33" s="32">
        <f t="shared" si="5"/>
        <v>0.46800000000000003</v>
      </c>
      <c r="Q33" s="32">
        <f t="shared" si="5"/>
        <v>0.47399999999999998</v>
      </c>
      <c r="R33" s="33"/>
      <c r="S33" s="33"/>
      <c r="T33" s="34"/>
      <c r="U33" s="35"/>
      <c r="V33" s="34"/>
      <c r="W33" s="2"/>
    </row>
    <row r="34" spans="1:23" x14ac:dyDescent="0.15">
      <c r="D34" s="36" t="s">
        <v>199</v>
      </c>
      <c r="E34" s="131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3"/>
      <c r="S34" s="33"/>
      <c r="T34" s="34"/>
      <c r="U34" s="35"/>
      <c r="V34" s="34"/>
      <c r="W34" s="2"/>
    </row>
    <row r="35" spans="1:23" x14ac:dyDescent="0.15">
      <c r="D35" s="11"/>
      <c r="E35" s="11"/>
      <c r="F35" s="33"/>
      <c r="G35" s="33"/>
      <c r="H35" s="33"/>
      <c r="I35" s="33"/>
      <c r="J35" s="33"/>
      <c r="K35" s="37"/>
      <c r="L35" s="33"/>
      <c r="N35" s="33"/>
      <c r="O35" s="37"/>
      <c r="P35" s="33"/>
    </row>
    <row r="36" spans="1:23" x14ac:dyDescent="0.15">
      <c r="B36" s="3" t="s">
        <v>197</v>
      </c>
      <c r="D36" s="11"/>
      <c r="E36" s="11"/>
      <c r="F36" s="33"/>
      <c r="G36" s="33"/>
      <c r="H36" s="33"/>
      <c r="I36" s="33"/>
      <c r="J36" s="33"/>
      <c r="K36" s="37"/>
      <c r="L36" s="33"/>
      <c r="N36" s="33"/>
      <c r="O36" s="37"/>
      <c r="P36" s="33"/>
    </row>
    <row r="37" spans="1:23" x14ac:dyDescent="0.15">
      <c r="D37" s="11"/>
      <c r="E37" s="11"/>
      <c r="F37" s="33"/>
      <c r="G37" s="33"/>
      <c r="H37" s="33"/>
      <c r="I37" s="33"/>
      <c r="J37" s="33"/>
      <c r="K37" s="37"/>
      <c r="L37" s="33"/>
      <c r="N37" s="33"/>
      <c r="O37" s="37"/>
      <c r="P37" s="33"/>
    </row>
    <row r="38" spans="1:23" x14ac:dyDescent="0.15">
      <c r="A38" s="233" t="s">
        <v>67</v>
      </c>
      <c r="B38" s="233"/>
      <c r="C38" s="233"/>
      <c r="D38" s="233"/>
      <c r="E38" s="233"/>
      <c r="F38" s="233"/>
      <c r="G38" s="33"/>
      <c r="H38" s="33"/>
      <c r="I38" s="33"/>
      <c r="J38" s="33"/>
      <c r="K38" s="37"/>
      <c r="L38" s="33"/>
      <c r="N38" s="33"/>
      <c r="O38" s="37"/>
      <c r="P38" s="33"/>
    </row>
    <row r="39" spans="1:23" x14ac:dyDescent="0.15">
      <c r="D39" s="11"/>
      <c r="E39" s="11"/>
      <c r="F39" s="33"/>
      <c r="G39" s="33"/>
      <c r="H39" s="33"/>
      <c r="I39" s="33"/>
      <c r="J39" s="33"/>
      <c r="K39" s="37"/>
      <c r="L39" s="33"/>
      <c r="N39" s="33"/>
      <c r="O39" s="37"/>
      <c r="P39" s="33"/>
    </row>
    <row r="40" spans="1:23" ht="14.25" thickBot="1" x14ac:dyDescent="0.2">
      <c r="B40" s="3" t="s">
        <v>66</v>
      </c>
      <c r="C40" s="3"/>
      <c r="F40" s="10"/>
      <c r="G40" s="38"/>
      <c r="H40" s="38"/>
      <c r="I40" s="38"/>
      <c r="J40" s="38"/>
      <c r="K40" s="5"/>
      <c r="N40" s="38"/>
      <c r="O40" s="5"/>
    </row>
    <row r="41" spans="1:23" x14ac:dyDescent="0.15">
      <c r="D41" s="203"/>
      <c r="E41" s="197"/>
      <c r="F41" s="184" t="s">
        <v>265</v>
      </c>
      <c r="G41" s="185"/>
      <c r="H41" s="185"/>
      <c r="I41" s="186"/>
      <c r="J41" s="182" t="s">
        <v>60</v>
      </c>
      <c r="K41" s="187"/>
      <c r="L41" s="187"/>
      <c r="M41" s="187"/>
      <c r="N41" s="197" t="s">
        <v>9</v>
      </c>
      <c r="O41" s="197"/>
      <c r="P41" s="197"/>
      <c r="Q41" s="198"/>
      <c r="R41" s="11"/>
      <c r="S41" s="11"/>
      <c r="T41" s="2"/>
      <c r="U41" s="12"/>
      <c r="V41" s="2"/>
      <c r="W41" s="2"/>
    </row>
    <row r="42" spans="1:23" x14ac:dyDescent="0.15">
      <c r="D42" s="210"/>
      <c r="E42" s="211"/>
      <c r="F42" s="124"/>
      <c r="G42" s="128" t="s">
        <v>11</v>
      </c>
      <c r="H42" s="128" t="s">
        <v>12</v>
      </c>
      <c r="I42" s="39" t="s">
        <v>13</v>
      </c>
      <c r="J42" s="124"/>
      <c r="K42" s="128" t="s">
        <v>11</v>
      </c>
      <c r="L42" s="128" t="s">
        <v>12</v>
      </c>
      <c r="M42" s="128" t="s">
        <v>13</v>
      </c>
      <c r="N42" s="15"/>
      <c r="O42" s="122" t="s">
        <v>11</v>
      </c>
      <c r="P42" s="122" t="s">
        <v>12</v>
      </c>
      <c r="Q42" s="122" t="s">
        <v>13</v>
      </c>
      <c r="R42" s="16"/>
      <c r="S42" s="16"/>
      <c r="T42" s="2"/>
      <c r="U42" s="12"/>
      <c r="V42" s="2"/>
      <c r="W42" s="2"/>
    </row>
    <row r="43" spans="1:23" x14ac:dyDescent="0.15">
      <c r="D43" s="203" t="s">
        <v>21</v>
      </c>
      <c r="E43" s="197"/>
      <c r="F43" s="22">
        <f>G43+H43+I43</f>
        <v>76</v>
      </c>
      <c r="G43" s="23">
        <v>2</v>
      </c>
      <c r="H43" s="23">
        <v>10</v>
      </c>
      <c r="I43" s="24">
        <v>64</v>
      </c>
      <c r="J43" s="22">
        <f>K43+L43+M43</f>
        <v>56</v>
      </c>
      <c r="K43" s="23">
        <v>0</v>
      </c>
      <c r="L43" s="23">
        <v>7</v>
      </c>
      <c r="M43" s="23">
        <v>49</v>
      </c>
      <c r="N43" s="25">
        <f>SUM(O43:Q43)</f>
        <v>67</v>
      </c>
      <c r="O43" s="23">
        <v>1</v>
      </c>
      <c r="P43" s="23">
        <v>12</v>
      </c>
      <c r="Q43" s="23">
        <v>54</v>
      </c>
      <c r="T43" s="2"/>
      <c r="U43" s="12"/>
      <c r="V43" s="2"/>
      <c r="W43" s="2"/>
    </row>
    <row r="44" spans="1:23" x14ac:dyDescent="0.15">
      <c r="D44" s="210"/>
      <c r="E44" s="211"/>
      <c r="F44" s="40">
        <f>ROUND(F43/(F$43+F$45+F$47+F$49+F$51),3)</f>
        <v>0.115</v>
      </c>
      <c r="G44" s="41">
        <f t="shared" ref="G44:I44" si="6">ROUND(G43/(G$43+G$45+G$47+G$49+G$51),3)</f>
        <v>3.3000000000000002E-2</v>
      </c>
      <c r="H44" s="41">
        <f t="shared" si="6"/>
        <v>5.5E-2</v>
      </c>
      <c r="I44" s="42">
        <f t="shared" si="6"/>
        <v>0.152</v>
      </c>
      <c r="J44" s="40">
        <f>ROUND(J43/(J$43+J$45+J$47+J$49+J$51),3)</f>
        <v>0.08</v>
      </c>
      <c r="K44" s="41">
        <f t="shared" ref="K44:M44" si="7">ROUND(K43/(K$43+K$45+K$47+K$49+K$51),3)</f>
        <v>0</v>
      </c>
      <c r="L44" s="41">
        <f t="shared" si="7"/>
        <v>3.3000000000000002E-2</v>
      </c>
      <c r="M44" s="41">
        <f t="shared" si="7"/>
        <v>0.11899999999999999</v>
      </c>
      <c r="N44" s="43">
        <f t="shared" ref="N44:Q44" si="8">ROUND(N43/(N$43+N$45+N$47+N$49+N$51+N$53),3)</f>
        <v>8.5000000000000006E-2</v>
      </c>
      <c r="O44" s="41">
        <f t="shared" si="8"/>
        <v>1.4999999999999999E-2</v>
      </c>
      <c r="P44" s="41">
        <f t="shared" si="8"/>
        <v>4.7E-2</v>
      </c>
      <c r="Q44" s="41">
        <f t="shared" si="8"/>
        <v>0.11600000000000001</v>
      </c>
      <c r="R44" s="38"/>
      <c r="S44" s="38"/>
      <c r="T44" s="2"/>
      <c r="U44" s="12"/>
      <c r="V44" s="2"/>
      <c r="W44" s="2"/>
    </row>
    <row r="45" spans="1:23" x14ac:dyDescent="0.15">
      <c r="D45" s="203" t="s">
        <v>22</v>
      </c>
      <c r="E45" s="197"/>
      <c r="F45" s="22">
        <f>G45+H45+I45</f>
        <v>177</v>
      </c>
      <c r="G45" s="23">
        <v>5</v>
      </c>
      <c r="H45" s="23">
        <v>46</v>
      </c>
      <c r="I45" s="24">
        <v>126</v>
      </c>
      <c r="J45" s="22">
        <f>K45+L45+M45</f>
        <v>204</v>
      </c>
      <c r="K45" s="23">
        <v>7</v>
      </c>
      <c r="L45" s="23">
        <v>59</v>
      </c>
      <c r="M45" s="23">
        <v>138</v>
      </c>
      <c r="N45" s="25">
        <f>SUM(O45:Q45)</f>
        <v>248</v>
      </c>
      <c r="O45" s="23">
        <v>6</v>
      </c>
      <c r="P45" s="23">
        <v>79</v>
      </c>
      <c r="Q45" s="23">
        <v>163</v>
      </c>
      <c r="T45" s="2"/>
      <c r="U45" s="12"/>
      <c r="V45" s="2"/>
      <c r="W45" s="2"/>
    </row>
    <row r="46" spans="1:23" x14ac:dyDescent="0.15">
      <c r="D46" s="210"/>
      <c r="E46" s="211"/>
      <c r="F46" s="40">
        <f>ROUND(F45/(F$43+F$45+F$47+F$49+F$51),3)</f>
        <v>0.26700000000000002</v>
      </c>
      <c r="G46" s="41">
        <f t="shared" ref="G46" si="9">ROUND(G45/(G$43+G$45+G$47+G$49+G$51),3)</f>
        <v>8.2000000000000003E-2</v>
      </c>
      <c r="H46" s="41">
        <f t="shared" ref="H46" si="10">ROUND(H45/(H$43+H$45+H$47+H$49+H$51),3)</f>
        <v>0.254</v>
      </c>
      <c r="I46" s="42">
        <f t="shared" ref="I46" si="11">ROUND(I45/(I$43+I$45+I$47+I$49+I$51),3)</f>
        <v>0.29899999999999999</v>
      </c>
      <c r="J46" s="40">
        <f>ROUND(J45/(J$43+J$45+J$47+J$49+J$51),3)</f>
        <v>0.28999999999999998</v>
      </c>
      <c r="K46" s="41">
        <f t="shared" ref="K46:M46" si="12">ROUND(K45/(K$43+K$45+K$47+K$49+K$51),3)</f>
        <v>9.1999999999999998E-2</v>
      </c>
      <c r="L46" s="41">
        <f t="shared" si="12"/>
        <v>0.27600000000000002</v>
      </c>
      <c r="M46" s="41">
        <f t="shared" si="12"/>
        <v>0.33400000000000002</v>
      </c>
      <c r="N46" s="43">
        <f t="shared" ref="N46:P46" si="13">ROUND(N45/(N$43+N$45+N$47+N$49+N$51+N$53),3)</f>
        <v>0.315</v>
      </c>
      <c r="O46" s="41">
        <f t="shared" si="13"/>
        <v>9.0999999999999998E-2</v>
      </c>
      <c r="P46" s="41">
        <f t="shared" si="13"/>
        <v>0.309</v>
      </c>
      <c r="Q46" s="41">
        <v>0.35</v>
      </c>
      <c r="R46" s="38"/>
      <c r="S46" s="38"/>
      <c r="T46" s="2"/>
      <c r="U46" s="12"/>
      <c r="V46" s="2"/>
      <c r="W46" s="2"/>
    </row>
    <row r="47" spans="1:23" x14ac:dyDescent="0.15">
      <c r="D47" s="203" t="s">
        <v>23</v>
      </c>
      <c r="E47" s="197"/>
      <c r="F47" s="22">
        <f>G47+H47+I47</f>
        <v>164</v>
      </c>
      <c r="G47" s="23">
        <v>15</v>
      </c>
      <c r="H47" s="23">
        <v>49</v>
      </c>
      <c r="I47" s="24">
        <v>100</v>
      </c>
      <c r="J47" s="22">
        <f>K47+L47+M47</f>
        <v>177</v>
      </c>
      <c r="K47" s="23">
        <v>16</v>
      </c>
      <c r="L47" s="23">
        <v>63</v>
      </c>
      <c r="M47" s="23">
        <v>98</v>
      </c>
      <c r="N47" s="25">
        <f>SUM(O47:Q47)</f>
        <v>218</v>
      </c>
      <c r="O47" s="23">
        <v>14</v>
      </c>
      <c r="P47" s="23">
        <v>81</v>
      </c>
      <c r="Q47" s="23">
        <v>123</v>
      </c>
      <c r="T47" s="2"/>
      <c r="U47" s="12"/>
      <c r="V47" s="2"/>
      <c r="W47" s="2"/>
    </row>
    <row r="48" spans="1:23" x14ac:dyDescent="0.15">
      <c r="D48" s="210"/>
      <c r="E48" s="211"/>
      <c r="F48" s="40">
        <f>ROUND(F47/(F$43+F$45+F$47+F$49+F$51),3)</f>
        <v>0.247</v>
      </c>
      <c r="G48" s="41">
        <f t="shared" ref="G48" si="14">ROUND(G47/(G$43+G$45+G$47+G$49+G$51),3)</f>
        <v>0.246</v>
      </c>
      <c r="H48" s="41">
        <f t="shared" ref="H48" si="15">ROUND(H47/(H$43+H$45+H$47+H$49+H$51),3)</f>
        <v>0.27100000000000002</v>
      </c>
      <c r="I48" s="42">
        <f t="shared" ref="I48" si="16">ROUND(I47/(I$43+I$45+I$47+I$49+I$51),3)</f>
        <v>0.23799999999999999</v>
      </c>
      <c r="J48" s="40">
        <f>ROUND(J47/(J$43+J$45+J$47+J$49+J$51),3)</f>
        <v>0.252</v>
      </c>
      <c r="K48" s="41">
        <f t="shared" ref="K48:M48" si="17">ROUND(K47/(K$43+K$45+K$47+K$49+K$51),3)</f>
        <v>0.21099999999999999</v>
      </c>
      <c r="L48" s="41">
        <f t="shared" si="17"/>
        <v>0.29399999999999998</v>
      </c>
      <c r="M48" s="41">
        <f t="shared" si="17"/>
        <v>0.23699999999999999</v>
      </c>
      <c r="N48" s="43">
        <f t="shared" ref="N48:Q48" si="18">ROUND(N47/(N$43+N$45+N$47+N$49+N$51+N$53),3)</f>
        <v>0.27700000000000002</v>
      </c>
      <c r="O48" s="41">
        <f t="shared" si="18"/>
        <v>0.21199999999999999</v>
      </c>
      <c r="P48" s="41">
        <f t="shared" si="18"/>
        <v>0.316</v>
      </c>
      <c r="Q48" s="41">
        <f t="shared" si="18"/>
        <v>0.26500000000000001</v>
      </c>
      <c r="R48" s="38"/>
      <c r="S48" s="38"/>
      <c r="T48" s="2"/>
      <c r="U48" s="12"/>
      <c r="V48" s="2"/>
      <c r="W48" s="2"/>
    </row>
    <row r="49" spans="2:23" x14ac:dyDescent="0.15">
      <c r="D49" s="203" t="s">
        <v>24</v>
      </c>
      <c r="E49" s="197"/>
      <c r="F49" s="22">
        <f>G49+H49+I49</f>
        <v>162</v>
      </c>
      <c r="G49" s="44">
        <v>18</v>
      </c>
      <c r="H49" s="44">
        <v>55</v>
      </c>
      <c r="I49" s="24">
        <v>89</v>
      </c>
      <c r="J49" s="22">
        <f>K49+L49+M49</f>
        <v>173</v>
      </c>
      <c r="K49" s="44">
        <v>28</v>
      </c>
      <c r="L49" s="44">
        <v>58</v>
      </c>
      <c r="M49" s="23">
        <v>87</v>
      </c>
      <c r="N49" s="25">
        <f>SUM(O49:Q49)</f>
        <v>181</v>
      </c>
      <c r="O49" s="44">
        <v>28</v>
      </c>
      <c r="P49" s="44">
        <v>63</v>
      </c>
      <c r="Q49" s="23">
        <v>90</v>
      </c>
      <c r="T49" s="2"/>
      <c r="U49" s="12"/>
      <c r="V49" s="2"/>
      <c r="W49" s="2"/>
    </row>
    <row r="50" spans="2:23" x14ac:dyDescent="0.15">
      <c r="D50" s="210"/>
      <c r="E50" s="211"/>
      <c r="F50" s="40">
        <f>ROUND(F49/(F$43+F$45+F$47+F$49+F$51),3)</f>
        <v>0.24399999999999999</v>
      </c>
      <c r="G50" s="41">
        <f t="shared" ref="G50" si="19">ROUND(G49/(G$43+G$45+G$47+G$49+G$51),3)</f>
        <v>0.29499999999999998</v>
      </c>
      <c r="H50" s="41">
        <f t="shared" ref="H50" si="20">ROUND(H49/(H$43+H$45+H$47+H$49+H$51),3)</f>
        <v>0.30399999999999999</v>
      </c>
      <c r="I50" s="42">
        <f t="shared" ref="I50" si="21">ROUND(I49/(I$43+I$45+I$47+I$49+I$51),3)</f>
        <v>0.21099999999999999</v>
      </c>
      <c r="J50" s="40">
        <f>ROUND(J49/(J$43+J$45+J$47+J$49+J$51),3)</f>
        <v>0.246</v>
      </c>
      <c r="K50" s="41">
        <f t="shared" ref="K50:M50" si="22">ROUND(K49/(K$43+K$45+K$47+K$49+K$51),3)</f>
        <v>0.36799999999999999</v>
      </c>
      <c r="L50" s="41">
        <f t="shared" si="22"/>
        <v>0.27100000000000002</v>
      </c>
      <c r="M50" s="41">
        <f t="shared" si="22"/>
        <v>0.21099999999999999</v>
      </c>
      <c r="N50" s="43">
        <f t="shared" ref="N50:Q50" si="23">ROUND(N49/(N$43+N$45+N$47+N$49+N$51+N$53),3)</f>
        <v>0.23</v>
      </c>
      <c r="O50" s="41">
        <f t="shared" si="23"/>
        <v>0.42399999999999999</v>
      </c>
      <c r="P50" s="41">
        <f t="shared" si="23"/>
        <v>0.246</v>
      </c>
      <c r="Q50" s="41">
        <f t="shared" si="23"/>
        <v>0.19400000000000001</v>
      </c>
      <c r="R50" s="38"/>
      <c r="S50" s="38"/>
      <c r="T50" s="2"/>
      <c r="U50" s="12"/>
      <c r="V50" s="2"/>
      <c r="W50" s="2"/>
    </row>
    <row r="51" spans="2:23" x14ac:dyDescent="0.15">
      <c r="D51" s="203" t="s">
        <v>25</v>
      </c>
      <c r="E51" s="197"/>
      <c r="F51" s="22">
        <f>G51+H51+I51</f>
        <v>84</v>
      </c>
      <c r="G51" s="44">
        <v>21</v>
      </c>
      <c r="H51" s="44">
        <v>21</v>
      </c>
      <c r="I51" s="24">
        <v>42</v>
      </c>
      <c r="J51" s="22">
        <f>K51+L51+M51</f>
        <v>93</v>
      </c>
      <c r="K51" s="44">
        <v>25</v>
      </c>
      <c r="L51" s="44">
        <v>27</v>
      </c>
      <c r="M51" s="23">
        <v>41</v>
      </c>
      <c r="N51" s="25">
        <f>SUM(O51:Q51)</f>
        <v>71</v>
      </c>
      <c r="O51" s="44">
        <v>17</v>
      </c>
      <c r="P51" s="44">
        <v>21</v>
      </c>
      <c r="Q51" s="23">
        <v>33</v>
      </c>
      <c r="T51" s="2"/>
      <c r="U51" s="12"/>
      <c r="V51" s="2"/>
      <c r="W51" s="2"/>
    </row>
    <row r="52" spans="2:23" x14ac:dyDescent="0.15">
      <c r="D52" s="210"/>
      <c r="E52" s="211"/>
      <c r="F52" s="40">
        <f>ROUND(F51/(F$43+F$45+F$47+F$49+F$51),3)</f>
        <v>0.127</v>
      </c>
      <c r="G52" s="41">
        <f t="shared" ref="G52" si="24">ROUND(G51/(G$43+G$45+G$47+G$49+G$51),3)</f>
        <v>0.34399999999999997</v>
      </c>
      <c r="H52" s="41">
        <f t="shared" ref="H52" si="25">ROUND(H51/(H$43+H$45+H$47+H$49+H$51),3)</f>
        <v>0.11600000000000001</v>
      </c>
      <c r="I52" s="42">
        <f t="shared" ref="I52" si="26">ROUND(I51/(I$43+I$45+I$47+I$49+I$51),3)</f>
        <v>0.1</v>
      </c>
      <c r="J52" s="40">
        <f>ROUND(J51/(J$43+J$45+J$47+J$49+J$51),3)</f>
        <v>0.13200000000000001</v>
      </c>
      <c r="K52" s="41">
        <f t="shared" ref="K52:M52" si="27">ROUND(K51/(K$43+K$45+K$47+K$49+K$51),3)</f>
        <v>0.32900000000000001</v>
      </c>
      <c r="L52" s="41">
        <f t="shared" si="27"/>
        <v>0.126</v>
      </c>
      <c r="M52" s="41">
        <f t="shared" si="27"/>
        <v>9.9000000000000005E-2</v>
      </c>
      <c r="N52" s="43">
        <f t="shared" ref="N52:Q52" si="28">ROUND(N51/(N$43+N$45+N$47+N$49+N$51+N$53),3)</f>
        <v>0.09</v>
      </c>
      <c r="O52" s="41">
        <f t="shared" si="28"/>
        <v>0.25800000000000001</v>
      </c>
      <c r="P52" s="41">
        <f t="shared" si="28"/>
        <v>8.2000000000000003E-2</v>
      </c>
      <c r="Q52" s="41">
        <f t="shared" si="28"/>
        <v>7.0999999999999994E-2</v>
      </c>
      <c r="R52" s="38"/>
      <c r="S52" s="38"/>
      <c r="T52" s="2"/>
      <c r="U52" s="12"/>
      <c r="V52" s="2"/>
      <c r="W52" s="2"/>
    </row>
    <row r="53" spans="2:23" x14ac:dyDescent="0.15">
      <c r="D53" s="203" t="s">
        <v>26</v>
      </c>
      <c r="E53" s="197"/>
      <c r="F53" s="182" t="s">
        <v>7</v>
      </c>
      <c r="G53" s="176" t="s">
        <v>7</v>
      </c>
      <c r="H53" s="176" t="s">
        <v>7</v>
      </c>
      <c r="I53" s="180" t="s">
        <v>7</v>
      </c>
      <c r="J53" s="182" t="s">
        <v>7</v>
      </c>
      <c r="K53" s="176" t="s">
        <v>7</v>
      </c>
      <c r="L53" s="176" t="s">
        <v>7</v>
      </c>
      <c r="M53" s="176" t="s">
        <v>7</v>
      </c>
      <c r="N53" s="25">
        <f>SUM(O53:Q53)</f>
        <v>2</v>
      </c>
      <c r="O53" s="44">
        <v>0</v>
      </c>
      <c r="P53" s="44">
        <v>0</v>
      </c>
      <c r="Q53" s="23">
        <v>2</v>
      </c>
      <c r="T53" s="2"/>
      <c r="U53" s="12"/>
      <c r="V53" s="2"/>
      <c r="W53" s="2"/>
    </row>
    <row r="54" spans="2:23" x14ac:dyDescent="0.15">
      <c r="D54" s="210"/>
      <c r="E54" s="211"/>
      <c r="F54" s="183"/>
      <c r="G54" s="177"/>
      <c r="H54" s="177"/>
      <c r="I54" s="181"/>
      <c r="J54" s="183"/>
      <c r="K54" s="177"/>
      <c r="L54" s="177"/>
      <c r="M54" s="177"/>
      <c r="N54" s="43">
        <f t="shared" ref="N54:Q54" si="29">ROUND(N53/(N$43+N$45+N$47+N$49+N$51+N$53),3)</f>
        <v>3.0000000000000001E-3</v>
      </c>
      <c r="O54" s="41">
        <f t="shared" si="29"/>
        <v>0</v>
      </c>
      <c r="P54" s="41">
        <f t="shared" si="29"/>
        <v>0</v>
      </c>
      <c r="Q54" s="41">
        <f t="shared" si="29"/>
        <v>4.0000000000000001E-3</v>
      </c>
      <c r="R54" s="38"/>
      <c r="S54" s="38"/>
      <c r="T54" s="2"/>
      <c r="U54" s="12"/>
      <c r="V54" s="2"/>
      <c r="W54" s="2"/>
    </row>
    <row r="55" spans="2:23" x14ac:dyDescent="0.15">
      <c r="D55" s="187" t="s">
        <v>20</v>
      </c>
      <c r="E55" s="194"/>
      <c r="F55" s="22">
        <f>F43+F45+F47+F49+F51</f>
        <v>663</v>
      </c>
      <c r="G55" s="23">
        <f t="shared" ref="G55:I55" si="30">G43+G45+G47+G49+G51</f>
        <v>61</v>
      </c>
      <c r="H55" s="23">
        <f t="shared" si="30"/>
        <v>181</v>
      </c>
      <c r="I55" s="24">
        <f t="shared" si="30"/>
        <v>421</v>
      </c>
      <c r="J55" s="22">
        <f>J43+J45+J47+J49+J51</f>
        <v>703</v>
      </c>
      <c r="K55" s="23">
        <f t="shared" ref="K55:M55" si="31">K43+K45+K47+K49+K51</f>
        <v>76</v>
      </c>
      <c r="L55" s="23">
        <f t="shared" si="31"/>
        <v>214</v>
      </c>
      <c r="M55" s="23">
        <f t="shared" si="31"/>
        <v>413</v>
      </c>
      <c r="N55" s="25">
        <f t="shared" ref="N55:Q55" si="32">N43+N45+N47+N49+N51+N53</f>
        <v>787</v>
      </c>
      <c r="O55" s="45">
        <f t="shared" si="32"/>
        <v>66</v>
      </c>
      <c r="P55" s="23">
        <f t="shared" si="32"/>
        <v>256</v>
      </c>
      <c r="Q55" s="23">
        <f t="shared" si="32"/>
        <v>465</v>
      </c>
      <c r="R55" s="46"/>
      <c r="S55" s="46"/>
      <c r="T55" s="2"/>
      <c r="U55" s="12"/>
      <c r="V55" s="2"/>
      <c r="W55" s="2"/>
    </row>
    <row r="56" spans="2:23" ht="14.25" thickBot="1" x14ac:dyDescent="0.2">
      <c r="D56" s="187"/>
      <c r="E56" s="194"/>
      <c r="F56" s="133">
        <f>F44+F46+F48+F50+F52</f>
        <v>1</v>
      </c>
      <c r="G56" s="134">
        <f t="shared" ref="G56:I56" si="33">G44+G46+G48+G50+G52</f>
        <v>0.99999999999999989</v>
      </c>
      <c r="H56" s="134">
        <f t="shared" si="33"/>
        <v>1.0000000000000002</v>
      </c>
      <c r="I56" s="135">
        <f t="shared" si="33"/>
        <v>0.99999999999999989</v>
      </c>
      <c r="J56" s="137">
        <f>J44+J46+J48+J50+J52</f>
        <v>1</v>
      </c>
      <c r="K56" s="136">
        <f t="shared" ref="K56:M56" si="34">K44+K46+K48+K50+K52</f>
        <v>1</v>
      </c>
      <c r="L56" s="136">
        <f t="shared" si="34"/>
        <v>1</v>
      </c>
      <c r="M56" s="136">
        <f t="shared" si="34"/>
        <v>0.99999999999999989</v>
      </c>
      <c r="N56" s="138">
        <v>1</v>
      </c>
      <c r="O56" s="132">
        <v>1</v>
      </c>
      <c r="P56" s="136">
        <v>1</v>
      </c>
      <c r="Q56" s="136">
        <f>Q44+Q46+Q48+Q50+Q52+Q54</f>
        <v>1</v>
      </c>
      <c r="R56" s="50"/>
      <c r="S56" s="50"/>
      <c r="T56" s="34"/>
      <c r="U56" s="35"/>
      <c r="V56" s="34"/>
      <c r="W56" s="2"/>
    </row>
    <row r="57" spans="2:23" x14ac:dyDescent="0.15">
      <c r="D57" s="11"/>
      <c r="E57" s="11"/>
      <c r="F57" s="50"/>
      <c r="G57" s="50"/>
      <c r="H57" s="50"/>
      <c r="I57" s="50"/>
      <c r="J57" s="50"/>
      <c r="K57" s="50"/>
      <c r="L57" s="50"/>
      <c r="N57" s="50"/>
      <c r="O57" s="50"/>
      <c r="P57" s="50"/>
    </row>
    <row r="58" spans="2:23" x14ac:dyDescent="0.15">
      <c r="D58" s="11"/>
      <c r="E58" s="11"/>
      <c r="F58" s="50"/>
      <c r="G58" s="50"/>
      <c r="H58" s="50"/>
      <c r="I58" s="50"/>
      <c r="J58" s="50"/>
      <c r="K58" s="50"/>
      <c r="L58" s="50"/>
      <c r="N58" s="50"/>
      <c r="O58" s="50"/>
      <c r="P58" s="50"/>
    </row>
    <row r="59" spans="2:23" ht="14.25" thickBot="1" x14ac:dyDescent="0.2">
      <c r="B59" s="3" t="s">
        <v>68</v>
      </c>
      <c r="C59" s="3"/>
      <c r="F59" s="10"/>
      <c r="G59" s="33"/>
      <c r="H59" s="33"/>
      <c r="I59" s="33"/>
      <c r="J59" s="33"/>
      <c r="K59" s="5"/>
      <c r="N59" s="33"/>
      <c r="O59" s="5"/>
    </row>
    <row r="60" spans="2:23" x14ac:dyDescent="0.15">
      <c r="D60" s="203"/>
      <c r="E60" s="197"/>
      <c r="F60" s="184" t="s">
        <v>265</v>
      </c>
      <c r="G60" s="185"/>
      <c r="H60" s="185"/>
      <c r="I60" s="186"/>
      <c r="J60" s="182" t="s">
        <v>60</v>
      </c>
      <c r="K60" s="187"/>
      <c r="L60" s="187"/>
      <c r="M60" s="187"/>
      <c r="N60" s="197" t="s">
        <v>9</v>
      </c>
      <c r="O60" s="197"/>
      <c r="P60" s="197"/>
      <c r="Q60" s="198"/>
      <c r="R60" s="11"/>
      <c r="S60" s="11"/>
      <c r="T60" s="2"/>
      <c r="U60" s="12"/>
      <c r="V60" s="2"/>
      <c r="W60" s="2"/>
    </row>
    <row r="61" spans="2:23" x14ac:dyDescent="0.15">
      <c r="D61" s="210"/>
      <c r="E61" s="211"/>
      <c r="F61" s="124"/>
      <c r="G61" s="128" t="s">
        <v>11</v>
      </c>
      <c r="H61" s="128" t="s">
        <v>12</v>
      </c>
      <c r="I61" s="39" t="s">
        <v>13</v>
      </c>
      <c r="J61" s="124"/>
      <c r="K61" s="128" t="s">
        <v>11</v>
      </c>
      <c r="L61" s="128" t="s">
        <v>12</v>
      </c>
      <c r="M61" s="128" t="s">
        <v>13</v>
      </c>
      <c r="N61" s="15"/>
      <c r="O61" s="122" t="s">
        <v>11</v>
      </c>
      <c r="P61" s="122" t="s">
        <v>12</v>
      </c>
      <c r="Q61" s="122" t="s">
        <v>13</v>
      </c>
      <c r="R61" s="16"/>
      <c r="S61" s="16"/>
      <c r="T61" s="2"/>
      <c r="U61" s="12"/>
      <c r="V61" s="2"/>
      <c r="W61" s="2"/>
    </row>
    <row r="62" spans="2:23" x14ac:dyDescent="0.15">
      <c r="D62" s="188" t="s">
        <v>17</v>
      </c>
      <c r="E62" s="189"/>
      <c r="F62" s="51">
        <f>G62+H62+I62</f>
        <v>555</v>
      </c>
      <c r="G62" s="44">
        <v>61</v>
      </c>
      <c r="H62" s="44">
        <v>143</v>
      </c>
      <c r="I62" s="24">
        <v>351</v>
      </c>
      <c r="J62" s="51">
        <f>K62+L62+M62</f>
        <v>611</v>
      </c>
      <c r="K62" s="44">
        <v>76</v>
      </c>
      <c r="L62" s="44">
        <v>175</v>
      </c>
      <c r="M62" s="23">
        <v>360</v>
      </c>
      <c r="N62" s="52">
        <f>SUM(O62:Q62)</f>
        <v>664</v>
      </c>
      <c r="O62" s="53">
        <v>62</v>
      </c>
      <c r="P62" s="44">
        <v>204</v>
      </c>
      <c r="Q62" s="23">
        <v>398</v>
      </c>
      <c r="T62" s="2"/>
      <c r="U62" s="12"/>
      <c r="V62" s="2"/>
      <c r="W62" s="2"/>
    </row>
    <row r="63" spans="2:23" x14ac:dyDescent="0.15">
      <c r="D63" s="191"/>
      <c r="E63" s="192"/>
      <c r="F63" s="54">
        <f>ROUND(F62/(F62+F64),3)</f>
        <v>0.83299999999999996</v>
      </c>
      <c r="G63" s="55">
        <f t="shared" ref="G63:I63" si="35">ROUND(G62/(G62+G64),3)</f>
        <v>1</v>
      </c>
      <c r="H63" s="55">
        <f t="shared" si="35"/>
        <v>0.78100000000000003</v>
      </c>
      <c r="I63" s="56">
        <f t="shared" si="35"/>
        <v>0.83199999999999996</v>
      </c>
      <c r="J63" s="54">
        <f>ROUND(J62/(J62+J64),3)</f>
        <v>0.86399999999999999</v>
      </c>
      <c r="K63" s="55">
        <f t="shared" ref="K63:M63" si="36">ROUND(K62/(K62+K64),3)</f>
        <v>1</v>
      </c>
      <c r="L63" s="55">
        <f t="shared" si="36"/>
        <v>0.81</v>
      </c>
      <c r="M63" s="55">
        <f t="shared" si="36"/>
        <v>0.86699999999999999</v>
      </c>
      <c r="N63" s="43">
        <f t="shared" ref="N63:Q63" si="37">ROUND(N62/(N62+N64+N66),3)</f>
        <v>0.84399999999999997</v>
      </c>
      <c r="O63" s="55">
        <f t="shared" si="37"/>
        <v>0.93899999999999995</v>
      </c>
      <c r="P63" s="55">
        <f t="shared" si="37"/>
        <v>0.79700000000000004</v>
      </c>
      <c r="Q63" s="55">
        <f t="shared" si="37"/>
        <v>0.85599999999999998</v>
      </c>
      <c r="R63" s="38"/>
      <c r="S63" s="38"/>
      <c r="T63" s="2"/>
      <c r="U63" s="12"/>
      <c r="V63" s="2"/>
      <c r="W63" s="2"/>
    </row>
    <row r="64" spans="2:23" x14ac:dyDescent="0.15">
      <c r="D64" s="188" t="s">
        <v>18</v>
      </c>
      <c r="E64" s="189"/>
      <c r="F64" s="51">
        <f>G64+H64+I64</f>
        <v>111</v>
      </c>
      <c r="G64" s="44">
        <v>0</v>
      </c>
      <c r="H64" s="44">
        <v>40</v>
      </c>
      <c r="I64" s="24">
        <v>71</v>
      </c>
      <c r="J64" s="51">
        <f>K64+L64+M64</f>
        <v>96</v>
      </c>
      <c r="K64" s="44">
        <v>0</v>
      </c>
      <c r="L64" s="44">
        <v>41</v>
      </c>
      <c r="M64" s="23">
        <v>55</v>
      </c>
      <c r="N64" s="52">
        <f>SUM(O64:Q64)</f>
        <v>118</v>
      </c>
      <c r="O64" s="53">
        <v>3</v>
      </c>
      <c r="P64" s="44">
        <v>50</v>
      </c>
      <c r="Q64" s="23">
        <v>65</v>
      </c>
      <c r="T64" s="2"/>
      <c r="U64" s="12"/>
      <c r="V64" s="2"/>
      <c r="W64" s="2"/>
    </row>
    <row r="65" spans="2:23" x14ac:dyDescent="0.15">
      <c r="D65" s="191"/>
      <c r="E65" s="192"/>
      <c r="F65" s="54">
        <f>ROUND(F64/(F62+F64),3)</f>
        <v>0.16700000000000001</v>
      </c>
      <c r="G65" s="55">
        <f t="shared" ref="G65:I65" si="38">ROUND(G64/(G62+G64),3)</f>
        <v>0</v>
      </c>
      <c r="H65" s="55">
        <f t="shared" si="38"/>
        <v>0.219</v>
      </c>
      <c r="I65" s="56">
        <f t="shared" si="38"/>
        <v>0.16800000000000001</v>
      </c>
      <c r="J65" s="54">
        <f>ROUND(J64/(J62+J64),3)</f>
        <v>0.13600000000000001</v>
      </c>
      <c r="K65" s="55">
        <f t="shared" ref="K65:M65" si="39">ROUND(K64/(K62+K64),3)</f>
        <v>0</v>
      </c>
      <c r="L65" s="55">
        <f t="shared" si="39"/>
        <v>0.19</v>
      </c>
      <c r="M65" s="55">
        <f t="shared" si="39"/>
        <v>0.13300000000000001</v>
      </c>
      <c r="N65" s="43">
        <f t="shared" ref="N65:Q65" si="40">ROUND(N64/(N62+N66+N64),3)</f>
        <v>0.15</v>
      </c>
      <c r="O65" s="55">
        <f t="shared" si="40"/>
        <v>4.4999999999999998E-2</v>
      </c>
      <c r="P65" s="55">
        <f t="shared" si="40"/>
        <v>0.19500000000000001</v>
      </c>
      <c r="Q65" s="55">
        <f t="shared" si="40"/>
        <v>0.14000000000000001</v>
      </c>
      <c r="R65" s="38"/>
      <c r="S65" s="38"/>
      <c r="T65" s="2"/>
      <c r="U65" s="12"/>
      <c r="V65" s="2"/>
      <c r="W65" s="2"/>
    </row>
    <row r="66" spans="2:23" x14ac:dyDescent="0.15">
      <c r="D66" s="188" t="s">
        <v>19</v>
      </c>
      <c r="E66" s="189"/>
      <c r="F66" s="182" t="s">
        <v>7</v>
      </c>
      <c r="G66" s="176" t="s">
        <v>7</v>
      </c>
      <c r="H66" s="176" t="s">
        <v>7</v>
      </c>
      <c r="I66" s="180" t="s">
        <v>7</v>
      </c>
      <c r="J66" s="182" t="s">
        <v>7</v>
      </c>
      <c r="K66" s="176" t="s">
        <v>7</v>
      </c>
      <c r="L66" s="176" t="s">
        <v>7</v>
      </c>
      <c r="M66" s="176" t="s">
        <v>7</v>
      </c>
      <c r="N66" s="52">
        <f>SUM(O66:Q66)</f>
        <v>5</v>
      </c>
      <c r="O66" s="53">
        <v>1</v>
      </c>
      <c r="P66" s="44">
        <v>2</v>
      </c>
      <c r="Q66" s="23">
        <v>2</v>
      </c>
      <c r="T66" s="2"/>
      <c r="U66" s="12"/>
      <c r="V66" s="2"/>
      <c r="W66" s="2"/>
    </row>
    <row r="67" spans="2:23" x14ac:dyDescent="0.15">
      <c r="D67" s="191"/>
      <c r="E67" s="192"/>
      <c r="F67" s="183"/>
      <c r="G67" s="177"/>
      <c r="H67" s="177"/>
      <c r="I67" s="181"/>
      <c r="J67" s="183"/>
      <c r="K67" s="177"/>
      <c r="L67" s="177"/>
      <c r="M67" s="177"/>
      <c r="N67" s="43">
        <f t="shared" ref="N67:Q67" si="41">1-N65-N63</f>
        <v>6.0000000000000053E-3</v>
      </c>
      <c r="O67" s="41">
        <f t="shared" si="41"/>
        <v>1.6000000000000014E-2</v>
      </c>
      <c r="P67" s="41">
        <f t="shared" si="41"/>
        <v>7.9999999999998961E-3</v>
      </c>
      <c r="Q67" s="41">
        <f t="shared" si="41"/>
        <v>4.0000000000000036E-3</v>
      </c>
      <c r="R67" s="38"/>
      <c r="S67" s="38"/>
      <c r="T67" s="2"/>
      <c r="U67" s="12"/>
      <c r="V67" s="2"/>
      <c r="W67" s="2"/>
    </row>
    <row r="68" spans="2:23" x14ac:dyDescent="0.15">
      <c r="D68" s="187" t="s">
        <v>20</v>
      </c>
      <c r="E68" s="194"/>
      <c r="F68" s="22">
        <f>F62+F64</f>
        <v>666</v>
      </c>
      <c r="G68" s="23">
        <f t="shared" ref="G68:I68" si="42">G62+G64</f>
        <v>61</v>
      </c>
      <c r="H68" s="23">
        <f t="shared" si="42"/>
        <v>183</v>
      </c>
      <c r="I68" s="24">
        <f t="shared" si="42"/>
        <v>422</v>
      </c>
      <c r="J68" s="22">
        <f>J62+J64</f>
        <v>707</v>
      </c>
      <c r="K68" s="23">
        <f t="shared" ref="K68:M68" si="43">K62+K64</f>
        <v>76</v>
      </c>
      <c r="L68" s="23">
        <f t="shared" si="43"/>
        <v>216</v>
      </c>
      <c r="M68" s="23">
        <f t="shared" si="43"/>
        <v>415</v>
      </c>
      <c r="N68" s="25">
        <f>N62+N64+N66</f>
        <v>787</v>
      </c>
      <c r="O68" s="23">
        <f t="shared" ref="O68:Q68" si="44">O62+O64+O66</f>
        <v>66</v>
      </c>
      <c r="P68" s="23">
        <f t="shared" si="44"/>
        <v>256</v>
      </c>
      <c r="Q68" s="23">
        <f t="shared" si="44"/>
        <v>465</v>
      </c>
      <c r="R68" s="46"/>
      <c r="S68" s="46"/>
      <c r="T68" s="2"/>
      <c r="U68" s="12"/>
      <c r="V68" s="2"/>
      <c r="W68" s="2"/>
    </row>
    <row r="69" spans="2:23" ht="14.25" thickBot="1" x14ac:dyDescent="0.2">
      <c r="D69" s="187"/>
      <c r="E69" s="194"/>
      <c r="F69" s="133">
        <f>F63+F65</f>
        <v>1</v>
      </c>
      <c r="G69" s="134">
        <f t="shared" ref="G69:I69" si="45">G63+G65</f>
        <v>1</v>
      </c>
      <c r="H69" s="134">
        <f t="shared" si="45"/>
        <v>1</v>
      </c>
      <c r="I69" s="135">
        <f t="shared" si="45"/>
        <v>1</v>
      </c>
      <c r="J69" s="137">
        <f>J63+J65</f>
        <v>1</v>
      </c>
      <c r="K69" s="136">
        <f t="shared" ref="K69:M69" si="46">K63+K65</f>
        <v>1</v>
      </c>
      <c r="L69" s="136">
        <f t="shared" si="46"/>
        <v>1</v>
      </c>
      <c r="M69" s="136">
        <f t="shared" si="46"/>
        <v>1</v>
      </c>
      <c r="N69" s="138">
        <f t="shared" ref="N69:Q69" si="47">N63+N65+N67</f>
        <v>1</v>
      </c>
      <c r="O69" s="136">
        <f t="shared" si="47"/>
        <v>1</v>
      </c>
      <c r="P69" s="136">
        <f t="shared" si="47"/>
        <v>0.99999999999999989</v>
      </c>
      <c r="Q69" s="136">
        <f t="shared" si="47"/>
        <v>1</v>
      </c>
      <c r="R69" s="38"/>
      <c r="S69" s="38"/>
      <c r="T69" s="34"/>
      <c r="U69" s="35"/>
      <c r="V69" s="34"/>
      <c r="W69" s="2"/>
    </row>
    <row r="70" spans="2:23" x14ac:dyDescent="0.15">
      <c r="D70" s="11"/>
      <c r="E70" s="11"/>
      <c r="F70" s="38"/>
      <c r="G70" s="38"/>
      <c r="H70" s="38"/>
      <c r="I70" s="38"/>
      <c r="J70" s="38"/>
      <c r="K70" s="57"/>
      <c r="L70" s="38"/>
      <c r="N70" s="38"/>
      <c r="O70" s="57"/>
      <c r="P70" s="38"/>
    </row>
    <row r="71" spans="2:23" x14ac:dyDescent="0.15">
      <c r="D71" s="11"/>
      <c r="E71" s="11"/>
      <c r="F71" s="38"/>
      <c r="G71" s="38"/>
      <c r="H71" s="38"/>
      <c r="I71" s="38"/>
      <c r="J71" s="38"/>
      <c r="K71" s="57"/>
      <c r="L71" s="38"/>
      <c r="N71" s="38"/>
      <c r="O71" s="57"/>
      <c r="P71" s="38"/>
    </row>
    <row r="72" spans="2:23" ht="14.25" thickBot="1" x14ac:dyDescent="0.2">
      <c r="B72" s="3" t="s">
        <v>69</v>
      </c>
      <c r="F72" s="10"/>
      <c r="G72" s="38"/>
      <c r="H72" s="38"/>
      <c r="I72" s="38"/>
      <c r="J72" s="38"/>
      <c r="N72" s="38"/>
    </row>
    <row r="73" spans="2:23" x14ac:dyDescent="0.15">
      <c r="D73" s="203"/>
      <c r="E73" s="197"/>
      <c r="F73" s="184" t="s">
        <v>265</v>
      </c>
      <c r="G73" s="185"/>
      <c r="H73" s="185"/>
      <c r="I73" s="186"/>
      <c r="J73" s="178" t="s">
        <v>60</v>
      </c>
      <c r="K73" s="197"/>
      <c r="L73" s="197"/>
      <c r="M73" s="198"/>
      <c r="N73" s="197" t="s">
        <v>9</v>
      </c>
      <c r="O73" s="197"/>
      <c r="P73" s="197"/>
      <c r="Q73" s="198"/>
      <c r="R73" s="11"/>
      <c r="S73" s="11"/>
      <c r="T73" s="2"/>
      <c r="U73" s="12"/>
      <c r="V73" s="2"/>
      <c r="W73" s="2"/>
    </row>
    <row r="74" spans="2:23" x14ac:dyDescent="0.15">
      <c r="D74" s="210"/>
      <c r="E74" s="211"/>
      <c r="F74" s="124"/>
      <c r="G74" s="128" t="s">
        <v>11</v>
      </c>
      <c r="H74" s="128" t="s">
        <v>12</v>
      </c>
      <c r="I74" s="39" t="s">
        <v>13</v>
      </c>
      <c r="J74" s="124"/>
      <c r="K74" s="128" t="s">
        <v>11</v>
      </c>
      <c r="L74" s="128" t="s">
        <v>12</v>
      </c>
      <c r="M74" s="128" t="s">
        <v>13</v>
      </c>
      <c r="N74" s="15"/>
      <c r="O74" s="122" t="s">
        <v>11</v>
      </c>
      <c r="P74" s="122" t="s">
        <v>12</v>
      </c>
      <c r="Q74" s="122" t="s">
        <v>13</v>
      </c>
      <c r="R74" s="16"/>
      <c r="S74" s="16"/>
      <c r="T74" s="2"/>
      <c r="U74" s="12"/>
      <c r="V74" s="2"/>
      <c r="W74" s="2"/>
    </row>
    <row r="75" spans="2:23" x14ac:dyDescent="0.15">
      <c r="D75" s="188" t="s">
        <v>27</v>
      </c>
      <c r="E75" s="189"/>
      <c r="F75" s="58">
        <f>F77+F79</f>
        <v>520</v>
      </c>
      <c r="G75" s="59">
        <f t="shared" ref="G75:H75" si="48">G77+G79</f>
        <v>53</v>
      </c>
      <c r="H75" s="59">
        <f t="shared" si="48"/>
        <v>158</v>
      </c>
      <c r="I75" s="60">
        <f>I77+I79</f>
        <v>309</v>
      </c>
      <c r="J75" s="58">
        <f>J77+J79</f>
        <v>572</v>
      </c>
      <c r="K75" s="59">
        <f t="shared" ref="K75:L75" si="49">K77+K79</f>
        <v>64</v>
      </c>
      <c r="L75" s="59">
        <f t="shared" si="49"/>
        <v>182</v>
      </c>
      <c r="M75" s="59">
        <f>M77+M79</f>
        <v>326</v>
      </c>
      <c r="N75" s="26">
        <f>N77+N79+N83+N81</f>
        <v>620</v>
      </c>
      <c r="O75" s="59">
        <f>O77+O79+O83</f>
        <v>54</v>
      </c>
      <c r="P75" s="59">
        <f>P77+P79+P83</f>
        <v>213</v>
      </c>
      <c r="Q75" s="59">
        <f>Q77+Q79+Q83</f>
        <v>353</v>
      </c>
      <c r="T75" s="2"/>
      <c r="U75" s="12"/>
      <c r="V75" s="2"/>
      <c r="W75" s="2"/>
    </row>
    <row r="76" spans="2:23" x14ac:dyDescent="0.15">
      <c r="D76" s="234"/>
      <c r="E76" s="192"/>
      <c r="F76" s="61">
        <f>ROUND(F75/(F75+F85),3)</f>
        <v>0.79</v>
      </c>
      <c r="G76" s="62">
        <f t="shared" ref="G76:I76" si="50">ROUND(G75/(G75+G85),3)</f>
        <v>0.88300000000000001</v>
      </c>
      <c r="H76" s="62">
        <f t="shared" si="50"/>
        <v>0.873</v>
      </c>
      <c r="I76" s="63">
        <f t="shared" si="50"/>
        <v>0.74099999999999999</v>
      </c>
      <c r="J76" s="61">
        <f>ROUND(J75/(J75+J85),3)</f>
        <v>0.82199999999999995</v>
      </c>
      <c r="K76" s="62">
        <f t="shared" ref="K76:M76" si="51">ROUND(K75/(K75+K85),3)</f>
        <v>0.877</v>
      </c>
      <c r="L76" s="62">
        <f t="shared" si="51"/>
        <v>0.84699999999999998</v>
      </c>
      <c r="M76" s="62">
        <f t="shared" si="51"/>
        <v>0.79900000000000004</v>
      </c>
      <c r="N76" s="64">
        <f>ROUND(N75/(N75+N85+N87),3)</f>
        <v>0.78800000000000003</v>
      </c>
      <c r="O76" s="62">
        <f>ROUND(O75/(O75+O85+O87),3)</f>
        <v>0.81799999999999995</v>
      </c>
      <c r="P76" s="62">
        <f t="shared" ref="P76" si="52">ROUND(P75/(P75+P85+P87),3)</f>
        <v>0.83199999999999996</v>
      </c>
      <c r="Q76" s="62">
        <f>ROUND(Q75/(Q75+Q85+Q87),3)</f>
        <v>0.75900000000000001</v>
      </c>
      <c r="R76" s="38"/>
      <c r="S76" s="38"/>
      <c r="T76" s="38"/>
      <c r="U76" s="12"/>
      <c r="V76" s="38"/>
      <c r="W76" s="2"/>
    </row>
    <row r="77" spans="2:23" x14ac:dyDescent="0.15">
      <c r="D77" s="65"/>
      <c r="E77" s="188" t="s">
        <v>28</v>
      </c>
      <c r="F77" s="58">
        <f>G77+H77+I77</f>
        <v>385</v>
      </c>
      <c r="G77" s="59">
        <v>26</v>
      </c>
      <c r="H77" s="59">
        <v>147</v>
      </c>
      <c r="I77" s="60">
        <v>212</v>
      </c>
      <c r="J77" s="58">
        <f>K77+L77+M77</f>
        <v>449</v>
      </c>
      <c r="K77" s="59">
        <v>29</v>
      </c>
      <c r="L77" s="59">
        <v>171</v>
      </c>
      <c r="M77" s="59">
        <v>249</v>
      </c>
      <c r="N77" s="26">
        <f>O77+P77+Q77</f>
        <v>496</v>
      </c>
      <c r="O77" s="59">
        <v>27</v>
      </c>
      <c r="P77" s="59">
        <v>201</v>
      </c>
      <c r="Q77" s="59">
        <v>268</v>
      </c>
      <c r="T77" s="38"/>
      <c r="U77" s="12"/>
      <c r="V77" s="38"/>
      <c r="W77" s="2"/>
    </row>
    <row r="78" spans="2:23" x14ac:dyDescent="0.15">
      <c r="D78" s="65"/>
      <c r="E78" s="234"/>
      <c r="F78" s="40">
        <f>ROUND(F77/(F$77+F$79),3)</f>
        <v>0.74</v>
      </c>
      <c r="G78" s="41">
        <f t="shared" ref="G78:I78" si="53">ROUND(G77/(G$77+G$79),3)</f>
        <v>0.49099999999999999</v>
      </c>
      <c r="H78" s="41">
        <f t="shared" si="53"/>
        <v>0.93</v>
      </c>
      <c r="I78" s="42">
        <f t="shared" si="53"/>
        <v>0.68600000000000005</v>
      </c>
      <c r="J78" s="40">
        <f>ROUND(J77/(J$77+J$79),3)</f>
        <v>0.78500000000000003</v>
      </c>
      <c r="K78" s="41">
        <f t="shared" ref="K78:M78" si="54">ROUND(K77/(K$77+K$79),3)</f>
        <v>0.45300000000000001</v>
      </c>
      <c r="L78" s="41">
        <f t="shared" si="54"/>
        <v>0.94</v>
      </c>
      <c r="M78" s="41">
        <f t="shared" si="54"/>
        <v>0.76400000000000001</v>
      </c>
      <c r="N78" s="43">
        <f>ROUND(N77/(N$77+N$79+N83),3)</f>
        <v>0.8</v>
      </c>
      <c r="O78" s="41">
        <f>ROUND(O77/(O$77+O$79+O83),3)</f>
        <v>0.5</v>
      </c>
      <c r="P78" s="41">
        <f t="shared" ref="P78:Q78" si="55">ROUND(P77/(P$77+P$79+P83),3)</f>
        <v>0.94399999999999995</v>
      </c>
      <c r="Q78" s="41">
        <f t="shared" si="55"/>
        <v>0.75900000000000001</v>
      </c>
      <c r="R78" s="38"/>
      <c r="S78" s="38"/>
      <c r="T78" s="38"/>
      <c r="U78" s="12"/>
      <c r="V78" s="38"/>
      <c r="W78" s="2"/>
    </row>
    <row r="79" spans="2:23" x14ac:dyDescent="0.15">
      <c r="D79" s="65"/>
      <c r="E79" s="188" t="s">
        <v>29</v>
      </c>
      <c r="F79" s="58">
        <f>G79+H79+I79</f>
        <v>135</v>
      </c>
      <c r="G79" s="59">
        <v>27</v>
      </c>
      <c r="H79" s="59">
        <v>11</v>
      </c>
      <c r="I79" s="60">
        <v>97</v>
      </c>
      <c r="J79" s="58">
        <f>K79+L79+M79</f>
        <v>123</v>
      </c>
      <c r="K79" s="59">
        <v>35</v>
      </c>
      <c r="L79" s="59">
        <v>11</v>
      </c>
      <c r="M79" s="59">
        <v>77</v>
      </c>
      <c r="N79" s="26">
        <f>O79+P79+Q79</f>
        <v>106</v>
      </c>
      <c r="O79" s="59">
        <v>24</v>
      </c>
      <c r="P79" s="59">
        <v>8</v>
      </c>
      <c r="Q79" s="59">
        <v>74</v>
      </c>
      <c r="T79" s="38"/>
      <c r="U79" s="12"/>
      <c r="V79" s="38"/>
      <c r="W79" s="2"/>
    </row>
    <row r="80" spans="2:23" x14ac:dyDescent="0.15">
      <c r="D80" s="65"/>
      <c r="E80" s="191"/>
      <c r="F80" s="40">
        <f>ROUND(F79/(F$77+F$79),3)</f>
        <v>0.26</v>
      </c>
      <c r="G80" s="41">
        <f t="shared" ref="G80" si="56">ROUND(G79/(G$77+G$79),3)</f>
        <v>0.50900000000000001</v>
      </c>
      <c r="H80" s="41">
        <f t="shared" ref="H80" si="57">ROUND(H79/(H$77+H$79),3)</f>
        <v>7.0000000000000007E-2</v>
      </c>
      <c r="I80" s="42">
        <f t="shared" ref="I80" si="58">ROUND(I79/(I$77+I$79),3)</f>
        <v>0.314</v>
      </c>
      <c r="J80" s="40">
        <f>ROUND(J79/(J$77+J$79),3)</f>
        <v>0.215</v>
      </c>
      <c r="K80" s="41">
        <f t="shared" ref="K80:M80" si="59">ROUND(K79/(K$77+K$79),3)</f>
        <v>0.54700000000000004</v>
      </c>
      <c r="L80" s="41">
        <f t="shared" si="59"/>
        <v>0.06</v>
      </c>
      <c r="M80" s="41">
        <f t="shared" si="59"/>
        <v>0.23599999999999999</v>
      </c>
      <c r="N80" s="43">
        <f>ROUND(N79/(N$77+N$79+N83),3)</f>
        <v>0.17100000000000001</v>
      </c>
      <c r="O80" s="41">
        <f>ROUND(O79/(O$77+O$79+O83),3)</f>
        <v>0.44400000000000001</v>
      </c>
      <c r="P80" s="41">
        <v>3.6999999999999998E-2</v>
      </c>
      <c r="Q80" s="41">
        <f t="shared" ref="Q80" si="60">ROUND(Q79/(Q$77+Q$79+Q83),3)</f>
        <v>0.21</v>
      </c>
      <c r="R80" s="38"/>
      <c r="S80" s="38"/>
      <c r="T80" s="38"/>
      <c r="U80" s="12"/>
      <c r="V80" s="38"/>
      <c r="W80" s="2"/>
    </row>
    <row r="81" spans="2:23" ht="13.5" hidden="1" customHeight="1" x14ac:dyDescent="0.15">
      <c r="D81" s="65"/>
      <c r="E81" s="188" t="s">
        <v>30</v>
      </c>
      <c r="F81" s="58"/>
      <c r="G81" s="59">
        <v>0</v>
      </c>
      <c r="H81" s="59"/>
      <c r="I81" s="60"/>
      <c r="J81" s="58"/>
      <c r="K81" s="59">
        <v>0</v>
      </c>
      <c r="L81" s="59"/>
      <c r="M81" s="59"/>
      <c r="N81" s="26"/>
      <c r="O81" s="59">
        <v>0</v>
      </c>
      <c r="P81" s="59"/>
      <c r="Q81" s="59"/>
      <c r="T81" s="2"/>
      <c r="U81" s="12"/>
      <c r="V81" s="2"/>
      <c r="W81" s="2"/>
    </row>
    <row r="82" spans="2:23" ht="13.5" hidden="1" customHeight="1" x14ac:dyDescent="0.15">
      <c r="D82" s="65"/>
      <c r="E82" s="191"/>
      <c r="F82" s="40" t="e">
        <f t="shared" ref="F82:I82" si="61">ROUND(F81/(F$77+F$79+F$83),3)</f>
        <v>#VALUE!</v>
      </c>
      <c r="G82" s="41" t="e">
        <f t="shared" si="61"/>
        <v>#VALUE!</v>
      </c>
      <c r="H82" s="41" t="e">
        <f t="shared" si="61"/>
        <v>#VALUE!</v>
      </c>
      <c r="I82" s="42" t="e">
        <f t="shared" si="61"/>
        <v>#VALUE!</v>
      </c>
      <c r="J82" s="40" t="e">
        <f t="shared" ref="J82:Q82" si="62">ROUND(J81/(J$77+J$79+J$83),3)</f>
        <v>#VALUE!</v>
      </c>
      <c r="K82" s="41" t="e">
        <f t="shared" si="62"/>
        <v>#VALUE!</v>
      </c>
      <c r="L82" s="41" t="e">
        <f t="shared" si="62"/>
        <v>#VALUE!</v>
      </c>
      <c r="M82" s="41" t="e">
        <f t="shared" si="62"/>
        <v>#VALUE!</v>
      </c>
      <c r="N82" s="43">
        <f t="shared" si="62"/>
        <v>0</v>
      </c>
      <c r="O82" s="41">
        <f t="shared" si="62"/>
        <v>0</v>
      </c>
      <c r="P82" s="41">
        <f t="shared" si="62"/>
        <v>0</v>
      </c>
      <c r="Q82" s="41">
        <f t="shared" si="62"/>
        <v>0</v>
      </c>
      <c r="R82" s="38"/>
      <c r="S82" s="38"/>
      <c r="T82" s="2"/>
      <c r="U82" s="12"/>
      <c r="V82" s="2"/>
      <c r="W82" s="2"/>
    </row>
    <row r="83" spans="2:23" x14ac:dyDescent="0.15">
      <c r="D83" s="65"/>
      <c r="E83" s="234" t="s">
        <v>19</v>
      </c>
      <c r="F83" s="182" t="s">
        <v>7</v>
      </c>
      <c r="G83" s="176" t="s">
        <v>7</v>
      </c>
      <c r="H83" s="176" t="s">
        <v>7</v>
      </c>
      <c r="I83" s="180" t="s">
        <v>7</v>
      </c>
      <c r="J83" s="182" t="s">
        <v>7</v>
      </c>
      <c r="K83" s="176" t="s">
        <v>7</v>
      </c>
      <c r="L83" s="176" t="s">
        <v>7</v>
      </c>
      <c r="M83" s="176" t="s">
        <v>7</v>
      </c>
      <c r="N83" s="26">
        <f>O83+P83+Q83</f>
        <v>18</v>
      </c>
      <c r="O83" s="59">
        <v>3</v>
      </c>
      <c r="P83" s="59">
        <v>4</v>
      </c>
      <c r="Q83" s="59">
        <v>11</v>
      </c>
      <c r="T83" s="2"/>
      <c r="U83" s="12"/>
      <c r="V83" s="2"/>
      <c r="W83" s="2"/>
    </row>
    <row r="84" spans="2:23" x14ac:dyDescent="0.15">
      <c r="D84" s="65"/>
      <c r="E84" s="191"/>
      <c r="F84" s="183"/>
      <c r="G84" s="177"/>
      <c r="H84" s="177"/>
      <c r="I84" s="181"/>
      <c r="J84" s="183"/>
      <c r="K84" s="177"/>
      <c r="L84" s="177"/>
      <c r="M84" s="177"/>
      <c r="N84" s="43">
        <f>ROUND(N83/(N$77+N$79+N83),3)</f>
        <v>2.9000000000000001E-2</v>
      </c>
      <c r="O84" s="41">
        <f>ROUND(O83/(O$77+O$79+O83),3)</f>
        <v>5.6000000000000001E-2</v>
      </c>
      <c r="P84" s="41">
        <f t="shared" ref="P84:Q84" si="63">ROUND(P83/(P$77+P$79+P83),3)</f>
        <v>1.9E-2</v>
      </c>
      <c r="Q84" s="41">
        <f t="shared" si="63"/>
        <v>3.1E-2</v>
      </c>
      <c r="R84" s="38"/>
      <c r="S84" s="38"/>
      <c r="T84" s="2"/>
      <c r="U84" s="12"/>
      <c r="V84" s="2"/>
      <c r="W84" s="2"/>
    </row>
    <row r="85" spans="2:23" x14ac:dyDescent="0.15">
      <c r="D85" s="188" t="s">
        <v>31</v>
      </c>
      <c r="E85" s="189"/>
      <c r="F85" s="58">
        <f>G85+H85+I85</f>
        <v>138</v>
      </c>
      <c r="G85" s="59">
        <v>7</v>
      </c>
      <c r="H85" s="59">
        <v>23</v>
      </c>
      <c r="I85" s="60">
        <v>108</v>
      </c>
      <c r="J85" s="58">
        <f>K85+L85+M85</f>
        <v>124</v>
      </c>
      <c r="K85" s="59">
        <v>9</v>
      </c>
      <c r="L85" s="59">
        <v>33</v>
      </c>
      <c r="M85" s="59">
        <v>82</v>
      </c>
      <c r="N85" s="26">
        <f>O85+P85+Q85</f>
        <v>162</v>
      </c>
      <c r="O85" s="59">
        <v>11</v>
      </c>
      <c r="P85" s="59">
        <v>43</v>
      </c>
      <c r="Q85" s="59">
        <v>108</v>
      </c>
      <c r="T85" s="2"/>
      <c r="U85" s="12"/>
      <c r="V85" s="2"/>
      <c r="W85" s="2"/>
    </row>
    <row r="86" spans="2:23" x14ac:dyDescent="0.15">
      <c r="D86" s="191"/>
      <c r="E86" s="192"/>
      <c r="F86" s="40">
        <f>ROUND(F85/(F75+F85),3)</f>
        <v>0.21</v>
      </c>
      <c r="G86" s="41">
        <f t="shared" ref="G86:I86" si="64">ROUND(G85/(G75+G85),3)</f>
        <v>0.11700000000000001</v>
      </c>
      <c r="H86" s="41">
        <f t="shared" si="64"/>
        <v>0.127</v>
      </c>
      <c r="I86" s="42">
        <f t="shared" si="64"/>
        <v>0.25900000000000001</v>
      </c>
      <c r="J86" s="40">
        <f>ROUND(J85/(J75+J85),3)</f>
        <v>0.17799999999999999</v>
      </c>
      <c r="K86" s="41">
        <f t="shared" ref="K86:M86" si="65">ROUND(K85/(K75+K85),3)</f>
        <v>0.123</v>
      </c>
      <c r="L86" s="41">
        <f t="shared" si="65"/>
        <v>0.153</v>
      </c>
      <c r="M86" s="41">
        <f t="shared" si="65"/>
        <v>0.20100000000000001</v>
      </c>
      <c r="N86" s="43">
        <f>ROUND(N85/(N75+N85+N87),3)</f>
        <v>0.20599999999999999</v>
      </c>
      <c r="O86" s="43">
        <f>ROUND(O85/(O75+O85+O87),3)</f>
        <v>0.16700000000000001</v>
      </c>
      <c r="P86" s="43">
        <f t="shared" ref="P86:Q86" si="66">ROUND(P85/(P75+P85+P87),3)</f>
        <v>0.16800000000000001</v>
      </c>
      <c r="Q86" s="43">
        <f t="shared" si="66"/>
        <v>0.23200000000000001</v>
      </c>
      <c r="R86" s="38"/>
      <c r="S86" s="38"/>
      <c r="T86" s="2"/>
      <c r="U86" s="12"/>
      <c r="V86" s="2"/>
      <c r="W86" s="2"/>
    </row>
    <row r="87" spans="2:23" x14ac:dyDescent="0.15">
      <c r="D87" s="188" t="s">
        <v>19</v>
      </c>
      <c r="E87" s="189"/>
      <c r="F87" s="182" t="s">
        <v>7</v>
      </c>
      <c r="G87" s="176" t="s">
        <v>7</v>
      </c>
      <c r="H87" s="176" t="s">
        <v>7</v>
      </c>
      <c r="I87" s="180" t="s">
        <v>7</v>
      </c>
      <c r="J87" s="182" t="s">
        <v>7</v>
      </c>
      <c r="K87" s="176" t="s">
        <v>7</v>
      </c>
      <c r="L87" s="176" t="s">
        <v>7</v>
      </c>
      <c r="M87" s="176" t="s">
        <v>7</v>
      </c>
      <c r="N87" s="26">
        <f>O87+P87+Q87</f>
        <v>5</v>
      </c>
      <c r="O87" s="59">
        <v>1</v>
      </c>
      <c r="P87" s="59">
        <v>0</v>
      </c>
      <c r="Q87" s="59">
        <v>4</v>
      </c>
      <c r="T87" s="2"/>
      <c r="U87" s="12"/>
      <c r="V87" s="2"/>
      <c r="W87" s="2"/>
    </row>
    <row r="88" spans="2:23" x14ac:dyDescent="0.15">
      <c r="D88" s="191"/>
      <c r="E88" s="192"/>
      <c r="F88" s="183"/>
      <c r="G88" s="177"/>
      <c r="H88" s="177"/>
      <c r="I88" s="181"/>
      <c r="J88" s="183"/>
      <c r="K88" s="177"/>
      <c r="L88" s="177"/>
      <c r="M88" s="177"/>
      <c r="N88" s="43">
        <f t="shared" ref="N88" si="67">1-N76-N86</f>
        <v>5.9999999999999776E-3</v>
      </c>
      <c r="O88" s="43">
        <f>1-O76-O86</f>
        <v>1.5000000000000041E-2</v>
      </c>
      <c r="P88" s="43">
        <f t="shared" ref="P88:Q88" si="68">1-P76-P86</f>
        <v>0</v>
      </c>
      <c r="Q88" s="43">
        <f t="shared" si="68"/>
        <v>8.9999999999999802E-3</v>
      </c>
      <c r="R88" s="38"/>
      <c r="S88" s="38"/>
      <c r="T88" s="2"/>
      <c r="U88" s="12"/>
      <c r="V88" s="2"/>
      <c r="W88" s="2"/>
    </row>
    <row r="89" spans="2:23" x14ac:dyDescent="0.15">
      <c r="D89" s="187" t="s">
        <v>20</v>
      </c>
      <c r="E89" s="194"/>
      <c r="F89" s="58">
        <f>F75+F85</f>
        <v>658</v>
      </c>
      <c r="G89" s="59">
        <f t="shared" ref="G89:I89" si="69">G75+G85</f>
        <v>60</v>
      </c>
      <c r="H89" s="59">
        <f t="shared" si="69"/>
        <v>181</v>
      </c>
      <c r="I89" s="60">
        <f t="shared" si="69"/>
        <v>417</v>
      </c>
      <c r="J89" s="58">
        <f>J75+J85</f>
        <v>696</v>
      </c>
      <c r="K89" s="59">
        <f t="shared" ref="K89:M89" si="70">K75+K85</f>
        <v>73</v>
      </c>
      <c r="L89" s="59">
        <f t="shared" si="70"/>
        <v>215</v>
      </c>
      <c r="M89" s="59">
        <f t="shared" si="70"/>
        <v>408</v>
      </c>
      <c r="N89" s="66">
        <f t="shared" ref="N89:Q89" si="71">N75+N85+N87</f>
        <v>787</v>
      </c>
      <c r="O89" s="59">
        <f t="shared" si="71"/>
        <v>66</v>
      </c>
      <c r="P89" s="66">
        <f t="shared" si="71"/>
        <v>256</v>
      </c>
      <c r="Q89" s="59">
        <f t="shared" si="71"/>
        <v>465</v>
      </c>
      <c r="T89" s="2"/>
      <c r="U89" s="12"/>
      <c r="V89" s="2"/>
      <c r="W89" s="2"/>
    </row>
    <row r="90" spans="2:23" ht="14.25" thickBot="1" x14ac:dyDescent="0.2">
      <c r="D90" s="187"/>
      <c r="E90" s="194"/>
      <c r="F90" s="133">
        <f>F76+F86</f>
        <v>1</v>
      </c>
      <c r="G90" s="134">
        <f t="shared" ref="G90:I90" si="72">G76+G86</f>
        <v>1</v>
      </c>
      <c r="H90" s="134">
        <f t="shared" si="72"/>
        <v>1</v>
      </c>
      <c r="I90" s="135">
        <f t="shared" si="72"/>
        <v>1</v>
      </c>
      <c r="J90" s="137">
        <f>J76+J86</f>
        <v>1</v>
      </c>
      <c r="K90" s="136">
        <f t="shared" ref="K90:M90" si="73">K76+K86</f>
        <v>1</v>
      </c>
      <c r="L90" s="136">
        <f t="shared" si="73"/>
        <v>1</v>
      </c>
      <c r="M90" s="136">
        <f t="shared" si="73"/>
        <v>1</v>
      </c>
      <c r="N90" s="132">
        <f t="shared" ref="N90:Q90" si="74">N76+N86+N88</f>
        <v>1</v>
      </c>
      <c r="O90" s="136">
        <f t="shared" si="74"/>
        <v>1</v>
      </c>
      <c r="P90" s="132">
        <f t="shared" si="74"/>
        <v>1</v>
      </c>
      <c r="Q90" s="136">
        <f t="shared" si="74"/>
        <v>1</v>
      </c>
      <c r="R90" s="50"/>
      <c r="S90" s="50"/>
      <c r="T90" s="34"/>
      <c r="U90" s="35"/>
      <c r="V90" s="34"/>
      <c r="W90" s="2"/>
    </row>
    <row r="91" spans="2:23" x14ac:dyDescent="0.15">
      <c r="K91" s="5"/>
      <c r="O91" s="5"/>
    </row>
    <row r="92" spans="2:23" x14ac:dyDescent="0.15">
      <c r="K92" s="5"/>
      <c r="O92" s="5"/>
    </row>
    <row r="93" spans="2:23" ht="14.25" thickBot="1" x14ac:dyDescent="0.2">
      <c r="B93" s="3" t="s">
        <v>70</v>
      </c>
      <c r="C93" s="3"/>
      <c r="D93" s="3"/>
      <c r="F93" s="10"/>
      <c r="G93" s="38"/>
      <c r="H93" s="38"/>
      <c r="I93" s="38"/>
      <c r="J93" s="38"/>
      <c r="K93" s="5"/>
      <c r="N93" s="38"/>
      <c r="O93" s="5"/>
    </row>
    <row r="94" spans="2:23" x14ac:dyDescent="0.15">
      <c r="D94" s="203"/>
      <c r="E94" s="197"/>
      <c r="F94" s="184" t="s">
        <v>265</v>
      </c>
      <c r="G94" s="185"/>
      <c r="H94" s="185"/>
      <c r="I94" s="186"/>
      <c r="J94" s="182" t="s">
        <v>60</v>
      </c>
      <c r="K94" s="187"/>
      <c r="L94" s="187"/>
      <c r="M94" s="187"/>
      <c r="N94" s="197" t="s">
        <v>9</v>
      </c>
      <c r="O94" s="197"/>
      <c r="P94" s="197"/>
      <c r="Q94" s="198"/>
      <c r="R94" s="11"/>
      <c r="S94" s="11"/>
      <c r="T94" s="2"/>
      <c r="U94" s="12"/>
      <c r="V94" s="2"/>
      <c r="W94" s="2"/>
    </row>
    <row r="95" spans="2:23" x14ac:dyDescent="0.15">
      <c r="D95" s="210"/>
      <c r="E95" s="211"/>
      <c r="F95" s="124"/>
      <c r="G95" s="128" t="s">
        <v>11</v>
      </c>
      <c r="H95" s="128" t="s">
        <v>12</v>
      </c>
      <c r="I95" s="39" t="s">
        <v>13</v>
      </c>
      <c r="J95" s="124"/>
      <c r="K95" s="128" t="s">
        <v>11</v>
      </c>
      <c r="L95" s="128" t="s">
        <v>12</v>
      </c>
      <c r="M95" s="128" t="s">
        <v>13</v>
      </c>
      <c r="N95" s="15"/>
      <c r="O95" s="122" t="s">
        <v>11</v>
      </c>
      <c r="P95" s="122" t="s">
        <v>12</v>
      </c>
      <c r="Q95" s="122" t="s">
        <v>13</v>
      </c>
      <c r="R95" s="16"/>
      <c r="S95" s="16"/>
      <c r="T95" s="2"/>
      <c r="U95" s="12"/>
      <c r="V95" s="2"/>
      <c r="W95" s="2"/>
    </row>
    <row r="96" spans="2:23" x14ac:dyDescent="0.15">
      <c r="D96" s="188" t="s">
        <v>27</v>
      </c>
      <c r="E96" s="189"/>
      <c r="F96" s="22">
        <f>F98+F100+F102</f>
        <v>416</v>
      </c>
      <c r="G96" s="23">
        <f t="shared" ref="G96:I96" si="75">G98+G100+G102</f>
        <v>43</v>
      </c>
      <c r="H96" s="23">
        <f t="shared" si="75"/>
        <v>136</v>
      </c>
      <c r="I96" s="23">
        <f t="shared" si="75"/>
        <v>237</v>
      </c>
      <c r="J96" s="22">
        <f>J98+J100+J102</f>
        <v>463</v>
      </c>
      <c r="K96" s="23">
        <f t="shared" ref="K96:M96" si="76">K98+K100+K102</f>
        <v>56</v>
      </c>
      <c r="L96" s="23">
        <f t="shared" si="76"/>
        <v>154</v>
      </c>
      <c r="M96" s="23">
        <f t="shared" si="76"/>
        <v>253</v>
      </c>
      <c r="N96" s="25">
        <f>N98+N100+N102+N104</f>
        <v>526</v>
      </c>
      <c r="O96" s="23">
        <f t="shared" ref="O96:Q96" si="77">O98+O100+O102+O104</f>
        <v>49</v>
      </c>
      <c r="P96" s="23">
        <f t="shared" si="77"/>
        <v>187</v>
      </c>
      <c r="Q96" s="23">
        <f t="shared" si="77"/>
        <v>290</v>
      </c>
      <c r="T96" s="2"/>
      <c r="U96" s="12"/>
      <c r="V96" s="2"/>
      <c r="W96" s="2"/>
    </row>
    <row r="97" spans="4:23" x14ac:dyDescent="0.15">
      <c r="D97" s="234"/>
      <c r="E97" s="192"/>
      <c r="F97" s="40">
        <f>ROUND(F96/(F$96+F$106),3)</f>
        <v>0.64800000000000002</v>
      </c>
      <c r="G97" s="41">
        <f>ROUND(G96/(G$96+G$106),3)</f>
        <v>0.76800000000000002</v>
      </c>
      <c r="H97" s="41">
        <f t="shared" ref="H97:I97" si="78">ROUND(H96/(H$96+H$106),3)</f>
        <v>0.76</v>
      </c>
      <c r="I97" s="41">
        <f t="shared" si="78"/>
        <v>0.58199999999999996</v>
      </c>
      <c r="J97" s="40">
        <f>ROUND(J96/(J$96+J$106),3)</f>
        <v>0.68300000000000005</v>
      </c>
      <c r="K97" s="41">
        <f>ROUND(K96/(K$96+K$106),3)</f>
        <v>0.76700000000000002</v>
      </c>
      <c r="L97" s="41">
        <f t="shared" ref="L97:M97" si="79">ROUND(L96/(L$96+L$106),3)</f>
        <v>0.74</v>
      </c>
      <c r="M97" s="41">
        <f t="shared" si="79"/>
        <v>0.63700000000000001</v>
      </c>
      <c r="N97" s="43">
        <f>ROUND(N96/(N$96+N$106+N$108),3)</f>
        <v>0.66800000000000004</v>
      </c>
      <c r="O97" s="41">
        <v>0.74299999999999999</v>
      </c>
      <c r="P97" s="41">
        <f t="shared" ref="P97:Q97" si="80">ROUND(P96/(P$96+P$106+P$108),3)</f>
        <v>0.73</v>
      </c>
      <c r="Q97" s="41">
        <f t="shared" si="80"/>
        <v>0.624</v>
      </c>
      <c r="R97" s="38"/>
      <c r="S97" s="38"/>
      <c r="T97" s="2"/>
      <c r="U97" s="12"/>
      <c r="V97" s="2"/>
      <c r="W97" s="2"/>
    </row>
    <row r="98" spans="4:23" x14ac:dyDescent="0.15">
      <c r="D98" s="65"/>
      <c r="E98" s="188" t="s">
        <v>28</v>
      </c>
      <c r="F98" s="22">
        <f>G98+H98+I98</f>
        <v>190</v>
      </c>
      <c r="G98" s="23">
        <v>9</v>
      </c>
      <c r="H98" s="23">
        <v>74</v>
      </c>
      <c r="I98" s="24">
        <v>107</v>
      </c>
      <c r="J98" s="22">
        <f>K98+L98+M98</f>
        <v>230</v>
      </c>
      <c r="K98" s="23">
        <v>14</v>
      </c>
      <c r="L98" s="23">
        <v>95</v>
      </c>
      <c r="M98" s="23">
        <v>121</v>
      </c>
      <c r="N98" s="25">
        <f>O98+P98+Q98</f>
        <v>254</v>
      </c>
      <c r="O98" s="23">
        <v>11</v>
      </c>
      <c r="P98" s="23">
        <v>103</v>
      </c>
      <c r="Q98" s="23">
        <v>140</v>
      </c>
      <c r="T98" s="2"/>
      <c r="U98" s="12"/>
      <c r="V98" s="2"/>
      <c r="W98" s="2"/>
    </row>
    <row r="99" spans="4:23" x14ac:dyDescent="0.15">
      <c r="D99" s="65"/>
      <c r="E99" s="234"/>
      <c r="F99" s="40">
        <f>ROUND(F98/(F$98+F$100+F$102),3)</f>
        <v>0.45700000000000002</v>
      </c>
      <c r="G99" s="41">
        <f t="shared" ref="G99:I99" si="81">ROUND(G98/(G$98+G$100+G$102),3)</f>
        <v>0.20899999999999999</v>
      </c>
      <c r="H99" s="41">
        <f t="shared" si="81"/>
        <v>0.54400000000000004</v>
      </c>
      <c r="I99" s="42">
        <f t="shared" si="81"/>
        <v>0.45100000000000001</v>
      </c>
      <c r="J99" s="40">
        <f>ROUND(J98/(J$98+J$100+J$102),3)</f>
        <v>0.497</v>
      </c>
      <c r="K99" s="41">
        <f t="shared" ref="K99:M99" si="82">ROUND(K98/(K$98+K$100+K$102),3)</f>
        <v>0.25</v>
      </c>
      <c r="L99" s="41">
        <f t="shared" si="82"/>
        <v>0.61699999999999999</v>
      </c>
      <c r="M99" s="41">
        <f t="shared" si="82"/>
        <v>0.47799999999999998</v>
      </c>
      <c r="N99" s="43">
        <f>ROUND(N98/(N$98+N$100+N$102+N$104),3)</f>
        <v>0.48299999999999998</v>
      </c>
      <c r="O99" s="41">
        <v>0.22500000000000001</v>
      </c>
      <c r="P99" s="41">
        <f t="shared" ref="P99:Q99" si="83">ROUND(P98/(P$98+P$100+P$102+P$104),3)</f>
        <v>0.55100000000000005</v>
      </c>
      <c r="Q99" s="41">
        <f t="shared" si="83"/>
        <v>0.48299999999999998</v>
      </c>
      <c r="R99" s="38"/>
      <c r="S99" s="38"/>
      <c r="T99" s="38"/>
      <c r="U99" s="12"/>
      <c r="V99" s="38"/>
      <c r="W99" s="2"/>
    </row>
    <row r="100" spans="4:23" x14ac:dyDescent="0.15">
      <c r="D100" s="65"/>
      <c r="E100" s="188" t="s">
        <v>29</v>
      </c>
      <c r="F100" s="22">
        <f>G100+H100+I100</f>
        <v>171</v>
      </c>
      <c r="G100" s="59">
        <v>31</v>
      </c>
      <c r="H100" s="59">
        <v>37</v>
      </c>
      <c r="I100" s="24">
        <v>103</v>
      </c>
      <c r="J100" s="22">
        <f>K100+L100+M100</f>
        <v>175</v>
      </c>
      <c r="K100" s="59">
        <v>41</v>
      </c>
      <c r="L100" s="59">
        <v>37</v>
      </c>
      <c r="M100" s="23">
        <v>97</v>
      </c>
      <c r="N100" s="25">
        <f>O100+P100+Q100</f>
        <v>165</v>
      </c>
      <c r="O100" s="59">
        <v>29</v>
      </c>
      <c r="P100" s="59">
        <v>33</v>
      </c>
      <c r="Q100" s="23">
        <v>103</v>
      </c>
      <c r="T100" s="38"/>
      <c r="U100" s="12"/>
      <c r="V100" s="38"/>
      <c r="W100" s="2"/>
    </row>
    <row r="101" spans="4:23" x14ac:dyDescent="0.15">
      <c r="D101" s="65"/>
      <c r="E101" s="191"/>
      <c r="F101" s="40">
        <f>ROUND(F100/(F$98+F$100+F$102),3)</f>
        <v>0.41099999999999998</v>
      </c>
      <c r="G101" s="41">
        <f t="shared" ref="G101" si="84">ROUND(G100/(G$98+G$100+G$102),3)</f>
        <v>0.72099999999999997</v>
      </c>
      <c r="H101" s="41">
        <f t="shared" ref="H101" si="85">ROUND(H100/(H$98+H$100+H$102),3)</f>
        <v>0.27200000000000002</v>
      </c>
      <c r="I101" s="42">
        <f t="shared" ref="I101" si="86">ROUND(I100/(I$98+I$100+I$102),3)</f>
        <v>0.435</v>
      </c>
      <c r="J101" s="40">
        <f>ROUND(J100/(J$98+J$100+J$102),3)</f>
        <v>0.378</v>
      </c>
      <c r="K101" s="41">
        <f t="shared" ref="K101:M101" si="87">ROUND(K100/(K$98+K$100+K$102),3)</f>
        <v>0.73199999999999998</v>
      </c>
      <c r="L101" s="41">
        <f t="shared" si="87"/>
        <v>0.24</v>
      </c>
      <c r="M101" s="41">
        <f t="shared" si="87"/>
        <v>0.38300000000000001</v>
      </c>
      <c r="N101" s="43">
        <f t="shared" ref="N101" si="88">ROUND(N100/(N$98+N$100+N$102+N$104),3)</f>
        <v>0.314</v>
      </c>
      <c r="O101" s="41">
        <f>ROUND(O100/(O$98+O$100+O$102+O$104),3)</f>
        <v>0.59199999999999997</v>
      </c>
      <c r="P101" s="41">
        <v>0.17699999999999999</v>
      </c>
      <c r="Q101" s="41">
        <f t="shared" ref="Q101" si="89">ROUND(Q100/(Q$98+Q$100+Q$102+Q$104),3)</f>
        <v>0.35499999999999998</v>
      </c>
      <c r="R101" s="38"/>
      <c r="S101" s="38"/>
      <c r="T101" s="38"/>
      <c r="U101" s="12"/>
      <c r="V101" s="38"/>
      <c r="W101" s="2"/>
    </row>
    <row r="102" spans="4:23" x14ac:dyDescent="0.15">
      <c r="D102" s="65"/>
      <c r="E102" s="234" t="s">
        <v>30</v>
      </c>
      <c r="F102" s="22">
        <f>G102+H102+I102</f>
        <v>55</v>
      </c>
      <c r="G102" s="59">
        <v>3</v>
      </c>
      <c r="H102" s="59">
        <v>25</v>
      </c>
      <c r="I102" s="24">
        <v>27</v>
      </c>
      <c r="J102" s="22">
        <f>K102+L102+M102</f>
        <v>58</v>
      </c>
      <c r="K102" s="59">
        <v>1</v>
      </c>
      <c r="L102" s="59">
        <v>22</v>
      </c>
      <c r="M102" s="23">
        <v>35</v>
      </c>
      <c r="N102" s="25">
        <f>O102+P102+Q102</f>
        <v>66</v>
      </c>
      <c r="O102" s="59">
        <v>6</v>
      </c>
      <c r="P102" s="59">
        <v>30</v>
      </c>
      <c r="Q102" s="23">
        <v>30</v>
      </c>
      <c r="T102" s="38"/>
      <c r="U102" s="12"/>
      <c r="V102" s="38"/>
      <c r="W102" s="2"/>
    </row>
    <row r="103" spans="4:23" x14ac:dyDescent="0.15">
      <c r="D103" s="65"/>
      <c r="E103" s="191"/>
      <c r="F103" s="40">
        <f>ROUND(F102/(F$98+F$100+F$102),3)</f>
        <v>0.13200000000000001</v>
      </c>
      <c r="G103" s="41">
        <f t="shared" ref="G103" si="90">ROUND(G102/(G$98+G$100+G$102),3)</f>
        <v>7.0000000000000007E-2</v>
      </c>
      <c r="H103" s="41">
        <f t="shared" ref="H103" si="91">ROUND(H102/(H$98+H$100+H$102),3)</f>
        <v>0.184</v>
      </c>
      <c r="I103" s="42">
        <f t="shared" ref="I103" si="92">ROUND(I102/(I$98+I$100+I$102),3)</f>
        <v>0.114</v>
      </c>
      <c r="J103" s="40">
        <f>ROUND(J102/(J$98+J$100+J$102),3)</f>
        <v>0.125</v>
      </c>
      <c r="K103" s="41">
        <f t="shared" ref="K103:M103" si="93">ROUND(K102/(K$98+K$100+K$102),3)</f>
        <v>1.7999999999999999E-2</v>
      </c>
      <c r="L103" s="41">
        <f t="shared" si="93"/>
        <v>0.14299999999999999</v>
      </c>
      <c r="M103" s="41">
        <f t="shared" si="93"/>
        <v>0.13800000000000001</v>
      </c>
      <c r="N103" s="43">
        <f t="shared" ref="N103:Q103" si="94">ROUND(N102/(N$98+N$100+N$102+N$104),3)</f>
        <v>0.125</v>
      </c>
      <c r="O103" s="41">
        <f t="shared" si="94"/>
        <v>0.122</v>
      </c>
      <c r="P103" s="41">
        <f t="shared" si="94"/>
        <v>0.16</v>
      </c>
      <c r="Q103" s="41">
        <f t="shared" si="94"/>
        <v>0.10299999999999999</v>
      </c>
      <c r="R103" s="38"/>
      <c r="S103" s="38"/>
      <c r="T103" s="2"/>
      <c r="U103" s="12"/>
      <c r="V103" s="2"/>
      <c r="W103" s="2"/>
    </row>
    <row r="104" spans="4:23" x14ac:dyDescent="0.15">
      <c r="D104" s="67"/>
      <c r="E104" s="234" t="s">
        <v>19</v>
      </c>
      <c r="F104" s="182" t="s">
        <v>7</v>
      </c>
      <c r="G104" s="176" t="s">
        <v>7</v>
      </c>
      <c r="H104" s="176" t="s">
        <v>7</v>
      </c>
      <c r="I104" s="176" t="s">
        <v>7</v>
      </c>
      <c r="J104" s="182" t="s">
        <v>7</v>
      </c>
      <c r="K104" s="176" t="s">
        <v>7</v>
      </c>
      <c r="L104" s="176" t="s">
        <v>7</v>
      </c>
      <c r="M104" s="176" t="s">
        <v>7</v>
      </c>
      <c r="N104" s="25">
        <f>O104+P104+Q104</f>
        <v>41</v>
      </c>
      <c r="O104" s="59">
        <v>3</v>
      </c>
      <c r="P104" s="59">
        <v>21</v>
      </c>
      <c r="Q104" s="23">
        <v>17</v>
      </c>
      <c r="T104" s="2"/>
      <c r="U104" s="12"/>
      <c r="V104" s="2"/>
      <c r="W104" s="2"/>
    </row>
    <row r="105" spans="4:23" x14ac:dyDescent="0.15">
      <c r="D105" s="67"/>
      <c r="E105" s="191"/>
      <c r="F105" s="183"/>
      <c r="G105" s="177"/>
      <c r="H105" s="177"/>
      <c r="I105" s="177"/>
      <c r="J105" s="183"/>
      <c r="K105" s="177"/>
      <c r="L105" s="177"/>
      <c r="M105" s="177"/>
      <c r="N105" s="43">
        <f t="shared" ref="N105:Q105" si="95">ROUND(N104/(N$98+N$100+N$102+N$104),3)</f>
        <v>7.8E-2</v>
      </c>
      <c r="O105" s="41">
        <f t="shared" si="95"/>
        <v>6.0999999999999999E-2</v>
      </c>
      <c r="P105" s="41">
        <f t="shared" si="95"/>
        <v>0.112</v>
      </c>
      <c r="Q105" s="41">
        <f t="shared" si="95"/>
        <v>5.8999999999999997E-2</v>
      </c>
      <c r="R105" s="38"/>
      <c r="S105" s="38"/>
      <c r="T105" s="2"/>
      <c r="U105" s="12"/>
      <c r="V105" s="2"/>
      <c r="W105" s="2"/>
    </row>
    <row r="106" spans="4:23" x14ac:dyDescent="0.15">
      <c r="D106" s="188" t="s">
        <v>31</v>
      </c>
      <c r="E106" s="189"/>
      <c r="F106" s="22">
        <f>G106+H106+I106</f>
        <v>226</v>
      </c>
      <c r="G106" s="59">
        <v>13</v>
      </c>
      <c r="H106" s="59">
        <v>43</v>
      </c>
      <c r="I106" s="24">
        <v>170</v>
      </c>
      <c r="J106" s="22">
        <f>K106+L106+M106</f>
        <v>215</v>
      </c>
      <c r="K106" s="59">
        <v>17</v>
      </c>
      <c r="L106" s="59">
        <v>54</v>
      </c>
      <c r="M106" s="23">
        <v>144</v>
      </c>
      <c r="N106" s="25">
        <f>O106+P106+Q106</f>
        <v>255</v>
      </c>
      <c r="O106" s="59">
        <v>16</v>
      </c>
      <c r="P106" s="59">
        <v>69</v>
      </c>
      <c r="Q106" s="23">
        <v>170</v>
      </c>
      <c r="T106" s="2"/>
      <c r="U106" s="12"/>
      <c r="V106" s="2"/>
      <c r="W106" s="2"/>
    </row>
    <row r="107" spans="4:23" x14ac:dyDescent="0.15">
      <c r="D107" s="191"/>
      <c r="E107" s="192"/>
      <c r="F107" s="40">
        <f>ROUND(F106/(F$96+F$106),3)</f>
        <v>0.35199999999999998</v>
      </c>
      <c r="G107" s="41">
        <f t="shared" ref="G107:I107" si="96">ROUND(G106/(G$96+G$106),3)</f>
        <v>0.23200000000000001</v>
      </c>
      <c r="H107" s="41">
        <f t="shared" si="96"/>
        <v>0.24</v>
      </c>
      <c r="I107" s="42">
        <f t="shared" si="96"/>
        <v>0.41799999999999998</v>
      </c>
      <c r="J107" s="40">
        <f>ROUND(J106/(J$96+J$106),3)</f>
        <v>0.317</v>
      </c>
      <c r="K107" s="41">
        <f t="shared" ref="K107:M107" si="97">ROUND(K106/(K$96+K$106),3)</f>
        <v>0.23300000000000001</v>
      </c>
      <c r="L107" s="41">
        <f t="shared" si="97"/>
        <v>0.26</v>
      </c>
      <c r="M107" s="41">
        <f t="shared" si="97"/>
        <v>0.36299999999999999</v>
      </c>
      <c r="N107" s="43">
        <f t="shared" ref="N107" si="98">ROUND(N106/(N$96+N$106+N$108),3)</f>
        <v>0.32400000000000001</v>
      </c>
      <c r="O107" s="41">
        <f>ROUND(O106/(O$96+O$106+O$108),3)</f>
        <v>0.24199999999999999</v>
      </c>
      <c r="P107" s="41">
        <f t="shared" ref="P107" si="99">ROUND(P106/(P$96+P$106+P$108),3)</f>
        <v>0.27</v>
      </c>
      <c r="Q107" s="41">
        <v>0.36499999999999999</v>
      </c>
      <c r="R107" s="38"/>
      <c r="S107" s="38"/>
      <c r="T107" s="2"/>
      <c r="U107" s="12"/>
      <c r="V107" s="2"/>
      <c r="W107" s="2"/>
    </row>
    <row r="108" spans="4:23" x14ac:dyDescent="0.15">
      <c r="D108" s="188" t="s">
        <v>19</v>
      </c>
      <c r="E108" s="189"/>
      <c r="F108" s="182" t="s">
        <v>7</v>
      </c>
      <c r="G108" s="176" t="s">
        <v>7</v>
      </c>
      <c r="H108" s="176" t="s">
        <v>7</v>
      </c>
      <c r="I108" s="180" t="s">
        <v>7</v>
      </c>
      <c r="J108" s="182" t="s">
        <v>7</v>
      </c>
      <c r="K108" s="176" t="s">
        <v>7</v>
      </c>
      <c r="L108" s="176" t="s">
        <v>7</v>
      </c>
      <c r="M108" s="176" t="s">
        <v>7</v>
      </c>
      <c r="N108" s="25">
        <f>O108+P108+Q108</f>
        <v>6</v>
      </c>
      <c r="O108" s="59">
        <v>1</v>
      </c>
      <c r="P108" s="59">
        <v>0</v>
      </c>
      <c r="Q108" s="23">
        <v>5</v>
      </c>
      <c r="T108" s="2"/>
      <c r="U108" s="12"/>
      <c r="V108" s="2"/>
      <c r="W108" s="2"/>
    </row>
    <row r="109" spans="4:23" x14ac:dyDescent="0.15">
      <c r="D109" s="191"/>
      <c r="E109" s="192"/>
      <c r="F109" s="183"/>
      <c r="G109" s="177"/>
      <c r="H109" s="177"/>
      <c r="I109" s="181"/>
      <c r="J109" s="183"/>
      <c r="K109" s="177"/>
      <c r="L109" s="177"/>
      <c r="M109" s="177"/>
      <c r="N109" s="43">
        <f t="shared" ref="N109:Q109" si="100">ROUND(N108/(N$96+N$106+N$108),3)</f>
        <v>8.0000000000000002E-3</v>
      </c>
      <c r="O109" s="41">
        <f t="shared" si="100"/>
        <v>1.4999999999999999E-2</v>
      </c>
      <c r="P109" s="41">
        <f t="shared" si="100"/>
        <v>0</v>
      </c>
      <c r="Q109" s="41">
        <f t="shared" si="100"/>
        <v>1.0999999999999999E-2</v>
      </c>
      <c r="R109" s="38"/>
      <c r="S109" s="38"/>
      <c r="T109" s="2"/>
      <c r="U109" s="12"/>
      <c r="V109" s="2"/>
      <c r="W109" s="2"/>
    </row>
    <row r="110" spans="4:23" x14ac:dyDescent="0.15">
      <c r="D110" s="187" t="s">
        <v>20</v>
      </c>
      <c r="E110" s="194"/>
      <c r="F110" s="22">
        <f>F96+F106</f>
        <v>642</v>
      </c>
      <c r="G110" s="23">
        <f t="shared" ref="G110:I110" si="101">G96+G106</f>
        <v>56</v>
      </c>
      <c r="H110" s="23">
        <f t="shared" si="101"/>
        <v>179</v>
      </c>
      <c r="I110" s="24">
        <f t="shared" si="101"/>
        <v>407</v>
      </c>
      <c r="J110" s="22">
        <f>J96+J106</f>
        <v>678</v>
      </c>
      <c r="K110" s="23">
        <f>K96+K106</f>
        <v>73</v>
      </c>
      <c r="L110" s="23">
        <f t="shared" ref="L110:M110" si="102">L96+L106</f>
        <v>208</v>
      </c>
      <c r="M110" s="23">
        <f t="shared" si="102"/>
        <v>397</v>
      </c>
      <c r="N110" s="26">
        <f t="shared" ref="N110:Q110" si="103">N96+N106+N108</f>
        <v>787</v>
      </c>
      <c r="O110" s="68">
        <f t="shared" si="103"/>
        <v>66</v>
      </c>
      <c r="P110" s="59">
        <f t="shared" si="103"/>
        <v>256</v>
      </c>
      <c r="Q110" s="59">
        <f t="shared" si="103"/>
        <v>465</v>
      </c>
      <c r="T110" s="2"/>
      <c r="U110" s="12"/>
      <c r="V110" s="2"/>
      <c r="W110" s="2"/>
    </row>
    <row r="111" spans="4:23" ht="14.25" thickBot="1" x14ac:dyDescent="0.2">
      <c r="D111" s="187"/>
      <c r="E111" s="194"/>
      <c r="F111" s="133">
        <f>F97+F107</f>
        <v>1</v>
      </c>
      <c r="G111" s="134">
        <f t="shared" ref="G111:I111" si="104">G97+G107</f>
        <v>1</v>
      </c>
      <c r="H111" s="134">
        <f t="shared" si="104"/>
        <v>1</v>
      </c>
      <c r="I111" s="135">
        <f t="shared" si="104"/>
        <v>1</v>
      </c>
      <c r="J111" s="137">
        <f>J97+J107</f>
        <v>1</v>
      </c>
      <c r="K111" s="136">
        <f t="shared" ref="K111:M111" si="105">K97+K107</f>
        <v>1</v>
      </c>
      <c r="L111" s="136">
        <f t="shared" si="105"/>
        <v>1</v>
      </c>
      <c r="M111" s="136">
        <f t="shared" si="105"/>
        <v>1</v>
      </c>
      <c r="N111" s="138">
        <f t="shared" ref="N111:Q111" si="106">N97+N107+N109</f>
        <v>1</v>
      </c>
      <c r="O111" s="152">
        <f t="shared" si="106"/>
        <v>1</v>
      </c>
      <c r="P111" s="136">
        <f t="shared" si="106"/>
        <v>1</v>
      </c>
      <c r="Q111" s="136">
        <f t="shared" si="106"/>
        <v>1</v>
      </c>
      <c r="R111" s="50"/>
      <c r="S111" s="50"/>
      <c r="T111" s="34"/>
      <c r="U111" s="35"/>
      <c r="V111" s="34"/>
      <c r="W111" s="2"/>
    </row>
    <row r="112" spans="4:23" x14ac:dyDescent="0.15">
      <c r="F112" s="50"/>
      <c r="G112" s="50"/>
      <c r="H112" s="50"/>
      <c r="I112" s="50"/>
      <c r="J112" s="50"/>
      <c r="K112" s="69"/>
      <c r="L112" s="50"/>
      <c r="N112" s="50"/>
      <c r="O112" s="69"/>
      <c r="P112" s="50"/>
    </row>
    <row r="113" spans="2:23" x14ac:dyDescent="0.15">
      <c r="F113" s="50"/>
      <c r="G113" s="50"/>
      <c r="H113" s="50"/>
      <c r="I113" s="50"/>
      <c r="J113" s="50"/>
      <c r="K113" s="69"/>
      <c r="L113" s="50"/>
      <c r="N113" s="50"/>
      <c r="O113" s="69"/>
      <c r="P113" s="50"/>
    </row>
    <row r="114" spans="2:23" ht="14.25" thickBot="1" x14ac:dyDescent="0.2">
      <c r="B114" s="3" t="s">
        <v>71</v>
      </c>
      <c r="F114" s="10"/>
      <c r="K114" s="5"/>
      <c r="O114" s="5"/>
    </row>
    <row r="115" spans="2:23" x14ac:dyDescent="0.15">
      <c r="D115" s="70"/>
      <c r="E115" s="71"/>
      <c r="F115" s="184" t="s">
        <v>265</v>
      </c>
      <c r="G115" s="185"/>
      <c r="H115" s="185"/>
      <c r="I115" s="186"/>
      <c r="J115" s="182" t="s">
        <v>60</v>
      </c>
      <c r="K115" s="187"/>
      <c r="L115" s="187"/>
      <c r="M115" s="187"/>
      <c r="N115" s="197" t="s">
        <v>9</v>
      </c>
      <c r="O115" s="197"/>
      <c r="P115" s="197"/>
      <c r="Q115" s="198"/>
      <c r="R115" s="11"/>
      <c r="S115" s="11"/>
      <c r="T115" s="2"/>
      <c r="U115" s="12"/>
      <c r="V115" s="2"/>
      <c r="W115" s="2"/>
    </row>
    <row r="116" spans="2:23" x14ac:dyDescent="0.15">
      <c r="D116" s="72"/>
      <c r="E116" s="126"/>
      <c r="F116" s="124"/>
      <c r="G116" s="128" t="s">
        <v>11</v>
      </c>
      <c r="H116" s="128" t="s">
        <v>12</v>
      </c>
      <c r="I116" s="39" t="s">
        <v>13</v>
      </c>
      <c r="J116" s="124"/>
      <c r="K116" s="128" t="s">
        <v>11</v>
      </c>
      <c r="L116" s="128" t="s">
        <v>12</v>
      </c>
      <c r="M116" s="128" t="s">
        <v>13</v>
      </c>
      <c r="N116" s="15"/>
      <c r="O116" s="122" t="s">
        <v>11</v>
      </c>
      <c r="P116" s="122" t="s">
        <v>12</v>
      </c>
      <c r="Q116" s="122" t="s">
        <v>13</v>
      </c>
      <c r="R116" s="16"/>
      <c r="S116" s="16"/>
      <c r="T116" s="2"/>
      <c r="U116" s="12"/>
      <c r="V116" s="2"/>
      <c r="W116" s="2"/>
    </row>
    <row r="117" spans="2:23" x14ac:dyDescent="0.15">
      <c r="D117" s="188" t="s">
        <v>32</v>
      </c>
      <c r="E117" s="189"/>
      <c r="F117" s="22">
        <f>G117+H117+I117</f>
        <v>427</v>
      </c>
      <c r="G117" s="23">
        <v>24</v>
      </c>
      <c r="H117" s="23">
        <v>129</v>
      </c>
      <c r="I117" s="24">
        <v>274</v>
      </c>
      <c r="J117" s="22">
        <f>K117+L117+M117</f>
        <v>466</v>
      </c>
      <c r="K117" s="23">
        <v>37</v>
      </c>
      <c r="L117" s="23">
        <v>147</v>
      </c>
      <c r="M117" s="23">
        <v>282</v>
      </c>
      <c r="N117" s="25">
        <f>O117+P117+Q117</f>
        <v>504</v>
      </c>
      <c r="O117" s="23">
        <v>30</v>
      </c>
      <c r="P117" s="23">
        <v>171</v>
      </c>
      <c r="Q117" s="23">
        <v>303</v>
      </c>
      <c r="T117" s="73"/>
      <c r="U117" s="74"/>
      <c r="V117" s="73"/>
      <c r="W117" s="2"/>
    </row>
    <row r="118" spans="2:23" x14ac:dyDescent="0.15">
      <c r="D118" s="191"/>
      <c r="E118" s="192"/>
      <c r="F118" s="40">
        <f>ROUND(F117/(F$117+F$121+F$119+F$131+F$123+F$125+F$127+F$129+F$133),3)</f>
        <v>0.64200000000000002</v>
      </c>
      <c r="G118" s="41">
        <f>ROUND(G117/(G$117+G$121+G$119+G$131+G$123+G$125+G$127+G$129+G$133),3)</f>
        <v>0.39300000000000002</v>
      </c>
      <c r="H118" s="41">
        <f t="shared" ref="H118" si="107">ROUND(H117/(H$117+H$121+H$119+H$131+H$123+H$125+H$127+H$129+H$133),3)</f>
        <v>0.70499999999999996</v>
      </c>
      <c r="I118" s="42">
        <f>ROUND(I117/(I$117+I$121+I$119+I$131+I$123+I$125+I$127+I$129+I$133),3)</f>
        <v>0.65100000000000002</v>
      </c>
      <c r="J118" s="40">
        <f>ROUND(J117/(J$117+J$121+J$119+J$131+J$123+J$125+J$127+J$129+J$133),3)</f>
        <v>0.65900000000000003</v>
      </c>
      <c r="K118" s="41">
        <f>ROUND(K117/(K$117+K$121+K$119+K$131+K$123+K$125+K$127+K$129+K$133),3)-0.001</f>
        <v>0.49199999999999999</v>
      </c>
      <c r="L118" s="41">
        <f t="shared" ref="L118" si="108">ROUND(L117/(L$117+L$121+L$119+L$131+L$123+L$125+L$127+L$129+L$133),3)</f>
        <v>0.67700000000000005</v>
      </c>
      <c r="M118" s="41">
        <f>ROUND(M117/(M$117+M$121+M$119+M$131+M$123+M$125+M$127+M$129+M$133),3)-0.001</f>
        <v>0.67900000000000005</v>
      </c>
      <c r="N118" s="43">
        <f t="shared" ref="N118:P118" si="109">ROUND(N117/(N$117+N$121+N$119+N$131+N$123+N$125+N$127+N$129+N$133+N$135),3)</f>
        <v>0.64</v>
      </c>
      <c r="O118" s="41">
        <f t="shared" si="109"/>
        <v>0.45500000000000002</v>
      </c>
      <c r="P118" s="41">
        <f t="shared" si="109"/>
        <v>0.66800000000000004</v>
      </c>
      <c r="Q118" s="41">
        <f>ROUND(Q117/(Q$117+Q$121+Q$119+Q$131+Q$123+Q$125+Q$127+Q$129+Q$133+Q$135),3)</f>
        <v>0.65200000000000002</v>
      </c>
      <c r="R118" s="38"/>
      <c r="S118" s="38"/>
      <c r="T118" s="73"/>
      <c r="U118" s="74"/>
      <c r="V118" s="73"/>
      <c r="W118" s="2"/>
    </row>
    <row r="119" spans="2:23" x14ac:dyDescent="0.15">
      <c r="D119" s="188" t="s">
        <v>33</v>
      </c>
      <c r="E119" s="189"/>
      <c r="F119" s="22">
        <f>G119+H119+I119</f>
        <v>33</v>
      </c>
      <c r="G119" s="23">
        <v>4</v>
      </c>
      <c r="H119" s="23">
        <v>8</v>
      </c>
      <c r="I119" s="24">
        <v>21</v>
      </c>
      <c r="J119" s="22">
        <f>K119+L119+M119</f>
        <v>25</v>
      </c>
      <c r="K119" s="23">
        <v>3</v>
      </c>
      <c r="L119" s="23">
        <v>9</v>
      </c>
      <c r="M119" s="23">
        <v>13</v>
      </c>
      <c r="N119" s="25">
        <f>O119+P119+Q119</f>
        <v>31</v>
      </c>
      <c r="O119" s="23">
        <v>4</v>
      </c>
      <c r="P119" s="23">
        <v>8</v>
      </c>
      <c r="Q119" s="23">
        <v>19</v>
      </c>
      <c r="T119" s="73"/>
      <c r="U119" s="74"/>
      <c r="V119" s="73"/>
      <c r="W119" s="2"/>
    </row>
    <row r="120" spans="2:23" x14ac:dyDescent="0.15">
      <c r="D120" s="191"/>
      <c r="E120" s="192"/>
      <c r="F120" s="40">
        <f>ROUND(F119/(F$117+F$121+F$119+F$131+F$123+F$125+F$127+F$129+F$133),3)</f>
        <v>0.05</v>
      </c>
      <c r="G120" s="41">
        <f t="shared" ref="G120" si="110">ROUND(G119/(G$117+G$121+G$119+G$131+G$123+G$125+G$127+G$129+G$133),3)</f>
        <v>6.6000000000000003E-2</v>
      </c>
      <c r="H120" s="41">
        <f>ROUND(H119/(H$117+H$121+H$119+H$131+H$123+H$125+H$127+H$129+H$133),3)+0.001</f>
        <v>4.4999999999999998E-2</v>
      </c>
      <c r="I120" s="42">
        <f t="shared" ref="I120" si="111">ROUND(I119/(I$117+I$121+I$119+I$131+I$123+I$125+I$127+I$129+I$133),3)</f>
        <v>0.05</v>
      </c>
      <c r="J120" s="40">
        <f>ROUND(J119/(J$117+J$121+J$119+J$131+J$123+J$125+J$127+J$129+J$133),3)</f>
        <v>3.5000000000000003E-2</v>
      </c>
      <c r="K120" s="41">
        <f t="shared" ref="K120" si="112">ROUND(K119/(K$117+K$121+K$119+K$131+K$123+K$125+K$127+K$129+K$133),3)</f>
        <v>0.04</v>
      </c>
      <c r="L120" s="41">
        <f>ROUND(L119/(L$117+L$121+L$119+L$131+L$123+L$125+L$127+L$129+L$133),3)+0.001</f>
        <v>4.2000000000000003E-2</v>
      </c>
      <c r="M120" s="41">
        <f t="shared" ref="M120" si="113">ROUND(M119/(M$117+M$121+M$119+M$131+M$123+M$125+M$127+M$129+M$133),3)</f>
        <v>3.1E-2</v>
      </c>
      <c r="N120" s="43">
        <f t="shared" ref="N120:O120" si="114">ROUND(N119/(N$117+N$121+N$119+N$131+N$123+N$125+N$127+N$129+N$133+N$135),3)</f>
        <v>3.9E-2</v>
      </c>
      <c r="O120" s="41">
        <f t="shared" si="114"/>
        <v>6.0999999999999999E-2</v>
      </c>
      <c r="P120" s="41">
        <f>ROUND(P119/(P$117+P$121+P$119+P$131+P$123+P$125+P$127+P$129+P$133+P$135),3)</f>
        <v>3.1E-2</v>
      </c>
      <c r="Q120" s="41">
        <f t="shared" ref="Q120" si="115">ROUND(Q119/(Q$117+Q$121+Q$119+Q$131+Q$123+Q$125+Q$127+Q$129+Q$133+Q$135),3)</f>
        <v>4.1000000000000002E-2</v>
      </c>
      <c r="R120" s="38"/>
      <c r="S120" s="38"/>
      <c r="T120" s="73"/>
      <c r="U120" s="74"/>
      <c r="V120" s="73"/>
      <c r="W120" s="2"/>
    </row>
    <row r="121" spans="2:23" x14ac:dyDescent="0.15">
      <c r="D121" s="188" t="s">
        <v>34</v>
      </c>
      <c r="E121" s="189"/>
      <c r="F121" s="22">
        <f>G121+H121+I121</f>
        <v>97</v>
      </c>
      <c r="G121" s="23">
        <v>10</v>
      </c>
      <c r="H121" s="23">
        <v>30</v>
      </c>
      <c r="I121" s="24">
        <v>57</v>
      </c>
      <c r="J121" s="22">
        <f>K121+L121+M121</f>
        <v>99</v>
      </c>
      <c r="K121" s="23">
        <v>8</v>
      </c>
      <c r="L121" s="23">
        <v>31</v>
      </c>
      <c r="M121" s="23">
        <v>60</v>
      </c>
      <c r="N121" s="25">
        <f>O121+P121+Q121</f>
        <v>120</v>
      </c>
      <c r="O121" s="23">
        <v>6</v>
      </c>
      <c r="P121" s="23">
        <v>46</v>
      </c>
      <c r="Q121" s="23">
        <v>68</v>
      </c>
      <c r="T121" s="73"/>
      <c r="U121" s="74"/>
      <c r="V121" s="73"/>
      <c r="W121" s="2"/>
    </row>
    <row r="122" spans="2:23" x14ac:dyDescent="0.15">
      <c r="D122" s="191"/>
      <c r="E122" s="192"/>
      <c r="F122" s="40">
        <f>ROUND(F121/(F$117+F$121+F$119+F$131+F$123+F$125+F$127+F$129+F$133),3)</f>
        <v>0.14599999999999999</v>
      </c>
      <c r="G122" s="41">
        <f t="shared" ref="G122" si="116">ROUND(G121/(G$117+G$121+G$119+G$131+G$123+G$125+G$127+G$129+G$133),3)</f>
        <v>0.16400000000000001</v>
      </c>
      <c r="H122" s="41">
        <f t="shared" ref="H122" si="117">ROUND(H121/(H$117+H$121+H$119+H$131+H$123+H$125+H$127+H$129+H$133),3)</f>
        <v>0.16400000000000001</v>
      </c>
      <c r="I122" s="42">
        <f t="shared" ref="I122" si="118">ROUND(I121/(I$117+I$121+I$119+I$131+I$123+I$125+I$127+I$129+I$133),3)</f>
        <v>0.13500000000000001</v>
      </c>
      <c r="J122" s="40">
        <f>ROUND(J121/(J$117+J$121+J$119+J$131+J$123+J$125+J$127+J$129+J$133),3)</f>
        <v>0.14000000000000001</v>
      </c>
      <c r="K122" s="41">
        <f t="shared" ref="K122:M122" si="119">ROUND(K121/(K$117+K$121+K$119+K$131+K$123+K$125+K$127+K$129+K$133),3)</f>
        <v>0.107</v>
      </c>
      <c r="L122" s="41">
        <f t="shared" si="119"/>
        <v>0.14299999999999999</v>
      </c>
      <c r="M122" s="41">
        <f t="shared" si="119"/>
        <v>0.14499999999999999</v>
      </c>
      <c r="N122" s="43">
        <v>0.153</v>
      </c>
      <c r="O122" s="41">
        <f t="shared" ref="O122:Q122" si="120">ROUND(O121/(O$117+O$121+O$119+O$131+O$123+O$125+O$127+O$129+O$133+O$135),3)</f>
        <v>9.0999999999999998E-2</v>
      </c>
      <c r="P122" s="41">
        <f t="shared" si="120"/>
        <v>0.18</v>
      </c>
      <c r="Q122" s="41">
        <f t="shared" si="120"/>
        <v>0.14599999999999999</v>
      </c>
      <c r="R122" s="38"/>
      <c r="S122" s="38"/>
      <c r="T122" s="73"/>
      <c r="U122" s="74"/>
      <c r="V122" s="73"/>
      <c r="W122" s="2"/>
    </row>
    <row r="123" spans="2:23" x14ac:dyDescent="0.15">
      <c r="D123" s="188" t="s">
        <v>35</v>
      </c>
      <c r="E123" s="189"/>
      <c r="F123" s="22">
        <f>G123+H123+I123</f>
        <v>31</v>
      </c>
      <c r="G123" s="23">
        <v>8</v>
      </c>
      <c r="H123" s="23">
        <v>6</v>
      </c>
      <c r="I123" s="24">
        <v>17</v>
      </c>
      <c r="J123" s="22">
        <f>K123+L123+M123</f>
        <v>34</v>
      </c>
      <c r="K123" s="23">
        <v>6</v>
      </c>
      <c r="L123" s="23">
        <v>12</v>
      </c>
      <c r="M123" s="23">
        <v>16</v>
      </c>
      <c r="N123" s="25">
        <f>O123+P123+Q123</f>
        <v>35</v>
      </c>
      <c r="O123" s="23">
        <v>5</v>
      </c>
      <c r="P123" s="23">
        <v>12</v>
      </c>
      <c r="Q123" s="23">
        <v>18</v>
      </c>
      <c r="T123" s="73"/>
      <c r="U123" s="74"/>
      <c r="V123" s="73"/>
      <c r="W123" s="2"/>
    </row>
    <row r="124" spans="2:23" x14ac:dyDescent="0.15">
      <c r="D124" s="191"/>
      <c r="E124" s="192"/>
      <c r="F124" s="40">
        <f>ROUND(F123/(F$117+F$121+F$119+F$131+F$123+F$125+F$127+F$129+F$133),3)</f>
        <v>4.7E-2</v>
      </c>
      <c r="G124" s="41">
        <f t="shared" ref="G124" si="121">ROUND(G123/(G$117+G$121+G$119+G$131+G$123+G$125+G$127+G$129+G$133),3)</f>
        <v>0.13100000000000001</v>
      </c>
      <c r="H124" s="41">
        <f t="shared" ref="H124" si="122">ROUND(H123/(H$117+H$121+H$119+H$131+H$123+H$125+H$127+H$129+H$133),3)</f>
        <v>3.3000000000000002E-2</v>
      </c>
      <c r="I124" s="42">
        <f t="shared" ref="I124" si="123">ROUND(I123/(I$117+I$121+I$119+I$131+I$123+I$125+I$127+I$129+I$133),3)</f>
        <v>0.04</v>
      </c>
      <c r="J124" s="40">
        <f>ROUND(J123/(J$117+J$121+J$119+J$131+J$123+J$125+J$127+J$129+J$133),3)</f>
        <v>4.8000000000000001E-2</v>
      </c>
      <c r="K124" s="41">
        <f t="shared" ref="K124:M124" si="124">ROUND(K123/(K$117+K$121+K$119+K$131+K$123+K$125+K$127+K$129+K$133),3)</f>
        <v>0.08</v>
      </c>
      <c r="L124" s="41">
        <f t="shared" si="124"/>
        <v>5.5E-2</v>
      </c>
      <c r="M124" s="41">
        <f t="shared" si="124"/>
        <v>3.9E-2</v>
      </c>
      <c r="N124" s="43">
        <f>ROUND(N123/(N$117+N$121+N$119+N$131+N$123+N$125+N$127+N$129+N$133+N$135),3)+0.001</f>
        <v>4.4999999999999998E-2</v>
      </c>
      <c r="O124" s="41">
        <f t="shared" ref="O124:Q124" si="125">ROUND(O123/(O$117+O$121+O$119+O$131+O$123+O$125+O$127+O$129+O$133+O$135),3)</f>
        <v>7.5999999999999998E-2</v>
      </c>
      <c r="P124" s="41">
        <f t="shared" si="125"/>
        <v>4.7E-2</v>
      </c>
      <c r="Q124" s="41">
        <f t="shared" si="125"/>
        <v>3.9E-2</v>
      </c>
      <c r="R124" s="38"/>
      <c r="S124" s="38"/>
      <c r="T124" s="73"/>
      <c r="U124" s="74"/>
      <c r="V124" s="73"/>
      <c r="W124" s="2"/>
    </row>
    <row r="125" spans="2:23" x14ac:dyDescent="0.15">
      <c r="D125" s="188" t="s">
        <v>36</v>
      </c>
      <c r="E125" s="189"/>
      <c r="F125" s="22">
        <f>G125+H125+I125</f>
        <v>39</v>
      </c>
      <c r="G125" s="23">
        <v>5</v>
      </c>
      <c r="H125" s="23">
        <v>7</v>
      </c>
      <c r="I125" s="24">
        <v>27</v>
      </c>
      <c r="J125" s="22">
        <f>K125+L125+M125</f>
        <v>28</v>
      </c>
      <c r="K125" s="23">
        <v>8</v>
      </c>
      <c r="L125" s="23">
        <v>7</v>
      </c>
      <c r="M125" s="23">
        <v>13</v>
      </c>
      <c r="N125" s="25">
        <f>O125+P125+Q125</f>
        <v>38</v>
      </c>
      <c r="O125" s="23">
        <v>9</v>
      </c>
      <c r="P125" s="23">
        <v>6</v>
      </c>
      <c r="Q125" s="23">
        <v>23</v>
      </c>
      <c r="T125" s="73"/>
      <c r="U125" s="74"/>
      <c r="V125" s="73"/>
      <c r="W125" s="2"/>
    </row>
    <row r="126" spans="2:23" x14ac:dyDescent="0.15">
      <c r="D126" s="191"/>
      <c r="E126" s="192"/>
      <c r="F126" s="40">
        <f>ROUND(F125/(F$117+F$121+F$119+F$131+F$123+F$125+F$127+F$129+F$133),3)</f>
        <v>5.8999999999999997E-2</v>
      </c>
      <c r="G126" s="41">
        <f t="shared" ref="G126" si="126">ROUND(G125/(G$117+G$121+G$119+G$131+G$123+G$125+G$127+G$129+G$133),3)</f>
        <v>8.2000000000000003E-2</v>
      </c>
      <c r="H126" s="41">
        <f t="shared" ref="H126" si="127">ROUND(H125/(H$117+H$121+H$119+H$131+H$123+H$125+H$127+H$129+H$133),3)</f>
        <v>3.7999999999999999E-2</v>
      </c>
      <c r="I126" s="42">
        <f t="shared" ref="I126" si="128">ROUND(I125/(I$117+I$121+I$119+I$131+I$123+I$125+I$127+I$129+I$133),3)</f>
        <v>6.4000000000000001E-2</v>
      </c>
      <c r="J126" s="40">
        <f>ROUND(J125/(J$117+J$121+J$119+J$131+J$123+J$125+J$127+J$129+J$133),3)</f>
        <v>0.04</v>
      </c>
      <c r="K126" s="41">
        <f t="shared" ref="K126:M126" si="129">ROUND(K125/(K$117+K$121+K$119+K$131+K$123+K$125+K$127+K$129+K$133),3)</f>
        <v>0.107</v>
      </c>
      <c r="L126" s="41">
        <f t="shared" si="129"/>
        <v>3.2000000000000001E-2</v>
      </c>
      <c r="M126" s="41">
        <f t="shared" si="129"/>
        <v>3.1E-2</v>
      </c>
      <c r="N126" s="43">
        <f>ROUND(N125/(N$117+N$121+N$119+N$131+N$123+N$125+N$127+N$129+N$133+N$135),3)</f>
        <v>4.8000000000000001E-2</v>
      </c>
      <c r="O126" s="41">
        <f t="shared" ref="O126:Q126" si="130">ROUND(O125/(O$117+O$121+O$119+O$131+O$123+O$125+O$127+O$129+O$133+O$135),3)</f>
        <v>0.13600000000000001</v>
      </c>
      <c r="P126" s="41">
        <f t="shared" si="130"/>
        <v>2.3E-2</v>
      </c>
      <c r="Q126" s="41">
        <f t="shared" si="130"/>
        <v>4.9000000000000002E-2</v>
      </c>
      <c r="R126" s="38"/>
      <c r="S126" s="38"/>
      <c r="T126" s="73"/>
      <c r="U126" s="74"/>
      <c r="V126" s="73"/>
      <c r="W126" s="2"/>
    </row>
    <row r="127" spans="2:23" x14ac:dyDescent="0.15">
      <c r="D127" s="188" t="s">
        <v>37</v>
      </c>
      <c r="E127" s="189"/>
      <c r="F127" s="22">
        <f>G127+H127+I127</f>
        <v>10</v>
      </c>
      <c r="G127" s="23">
        <v>2</v>
      </c>
      <c r="H127" s="23">
        <v>2</v>
      </c>
      <c r="I127" s="24">
        <v>6</v>
      </c>
      <c r="J127" s="22">
        <f>K127+L127+M127</f>
        <v>26</v>
      </c>
      <c r="K127" s="23">
        <v>3</v>
      </c>
      <c r="L127" s="23">
        <v>7</v>
      </c>
      <c r="M127" s="23">
        <v>16</v>
      </c>
      <c r="N127" s="25">
        <f>O127+P127+Q127</f>
        <v>8</v>
      </c>
      <c r="O127" s="23">
        <v>1</v>
      </c>
      <c r="P127" s="23">
        <v>3</v>
      </c>
      <c r="Q127" s="23">
        <v>4</v>
      </c>
      <c r="T127" s="73"/>
      <c r="U127" s="74"/>
      <c r="V127" s="73"/>
      <c r="W127" s="2"/>
    </row>
    <row r="128" spans="2:23" x14ac:dyDescent="0.15">
      <c r="D128" s="191"/>
      <c r="E128" s="192"/>
      <c r="F128" s="40">
        <f>ROUND(F127/(F$117+F$121+F$119+F$131+F$123+F$125+F$127+F$129+F$133),3)</f>
        <v>1.4999999999999999E-2</v>
      </c>
      <c r="G128" s="41">
        <f t="shared" ref="G128" si="131">ROUND(G127/(G$117+G$121+G$119+G$131+G$123+G$125+G$127+G$129+G$133),3)</f>
        <v>3.3000000000000002E-2</v>
      </c>
      <c r="H128" s="41">
        <f t="shared" ref="H128" si="132">ROUND(H127/(H$117+H$121+H$119+H$131+H$123+H$125+H$127+H$129+H$133),3)</f>
        <v>1.0999999999999999E-2</v>
      </c>
      <c r="I128" s="42">
        <f t="shared" ref="I128" si="133">ROUND(I127/(I$117+I$121+I$119+I$131+I$123+I$125+I$127+I$129+I$133),3)</f>
        <v>1.4E-2</v>
      </c>
      <c r="J128" s="40">
        <f>ROUND(J127/(J$117+J$121+J$119+J$131+J$123+J$125+J$127+J$129+J$133),3)</f>
        <v>3.6999999999999998E-2</v>
      </c>
      <c r="K128" s="41">
        <f t="shared" ref="K128:M128" si="134">ROUND(K127/(K$117+K$121+K$119+K$131+K$123+K$125+K$127+K$129+K$133),3)</f>
        <v>0.04</v>
      </c>
      <c r="L128" s="41">
        <f t="shared" si="134"/>
        <v>3.2000000000000001E-2</v>
      </c>
      <c r="M128" s="41">
        <f t="shared" si="134"/>
        <v>3.9E-2</v>
      </c>
      <c r="N128" s="43">
        <f t="shared" ref="N128:Q128" si="135">ROUND(N127/(N$117+N$121+N$119+N$131+N$123+N$125+N$127+N$129+N$133+N$135),3)</f>
        <v>0.01</v>
      </c>
      <c r="O128" s="41">
        <f t="shared" si="135"/>
        <v>1.4999999999999999E-2</v>
      </c>
      <c r="P128" s="41">
        <f t="shared" si="135"/>
        <v>1.2E-2</v>
      </c>
      <c r="Q128" s="41">
        <f t="shared" si="135"/>
        <v>8.9999999999999993E-3</v>
      </c>
      <c r="R128" s="38"/>
      <c r="S128" s="38"/>
      <c r="T128" s="73"/>
      <c r="U128" s="74"/>
      <c r="V128" s="73"/>
      <c r="W128" s="2"/>
    </row>
    <row r="129" spans="2:23" x14ac:dyDescent="0.15">
      <c r="D129" s="188" t="s">
        <v>38</v>
      </c>
      <c r="E129" s="189"/>
      <c r="F129" s="22">
        <f>G129+H129+I129</f>
        <v>4</v>
      </c>
      <c r="G129" s="23">
        <v>1</v>
      </c>
      <c r="H129" s="23">
        <v>0</v>
      </c>
      <c r="I129" s="24">
        <v>3</v>
      </c>
      <c r="J129" s="22">
        <f>K129+L129+M129</f>
        <v>6</v>
      </c>
      <c r="K129" s="23">
        <v>2</v>
      </c>
      <c r="L129" s="23">
        <v>0</v>
      </c>
      <c r="M129" s="23">
        <v>4</v>
      </c>
      <c r="N129" s="25">
        <f>O129+P129+Q129</f>
        <v>7</v>
      </c>
      <c r="O129" s="23">
        <v>2</v>
      </c>
      <c r="P129" s="23">
        <v>0</v>
      </c>
      <c r="Q129" s="23">
        <v>5</v>
      </c>
      <c r="T129" s="73"/>
      <c r="U129" s="74"/>
      <c r="V129" s="73"/>
      <c r="W129" s="2"/>
    </row>
    <row r="130" spans="2:23" x14ac:dyDescent="0.15">
      <c r="D130" s="191"/>
      <c r="E130" s="192"/>
      <c r="F130" s="40">
        <f>ROUND(F129/(F$117+F$121+F$119+F$131+F$123+F$125+F$127+F$129+F$133),3)</f>
        <v>6.0000000000000001E-3</v>
      </c>
      <c r="G130" s="41">
        <f t="shared" ref="G130" si="136">ROUND(G129/(G$117+G$121+G$119+G$131+G$123+G$125+G$127+G$129+G$133),3)</f>
        <v>1.6E-2</v>
      </c>
      <c r="H130" s="41">
        <f t="shared" ref="H130" si="137">ROUND(H129/(H$117+H$121+H$119+H$131+H$123+H$125+H$127+H$129+H$133),3)</f>
        <v>0</v>
      </c>
      <c r="I130" s="42">
        <f t="shared" ref="I130" si="138">ROUND(I129/(I$117+I$121+I$119+I$131+I$123+I$125+I$127+I$129+I$133),3)</f>
        <v>7.0000000000000001E-3</v>
      </c>
      <c r="J130" s="40">
        <f>ROUND(J129/(J$117+J$121+J$119+J$131+J$123+J$125+J$127+J$129+J$133),3)</f>
        <v>8.0000000000000002E-3</v>
      </c>
      <c r="K130" s="41">
        <f t="shared" ref="K130:M130" si="139">ROUND(K129/(K$117+K$121+K$119+K$131+K$123+K$125+K$127+K$129+K$133),3)</f>
        <v>2.7E-2</v>
      </c>
      <c r="L130" s="41">
        <f t="shared" si="139"/>
        <v>0</v>
      </c>
      <c r="M130" s="41">
        <f t="shared" si="139"/>
        <v>0.01</v>
      </c>
      <c r="N130" s="43">
        <f t="shared" ref="N130:Q130" si="140">ROUND(N129/(N$117+N$121+N$119+N$131+N$123+N$125+N$127+N$129+N$133+N$135),3)</f>
        <v>8.9999999999999993E-3</v>
      </c>
      <c r="O130" s="41">
        <f t="shared" si="140"/>
        <v>0.03</v>
      </c>
      <c r="P130" s="41">
        <f t="shared" si="140"/>
        <v>0</v>
      </c>
      <c r="Q130" s="41">
        <f t="shared" si="140"/>
        <v>1.0999999999999999E-2</v>
      </c>
      <c r="R130" s="38"/>
      <c r="S130" s="38"/>
      <c r="T130" s="73"/>
      <c r="U130" s="74"/>
      <c r="V130" s="73"/>
      <c r="W130" s="2"/>
    </row>
    <row r="131" spans="2:23" x14ac:dyDescent="0.15">
      <c r="D131" s="235" t="s">
        <v>39</v>
      </c>
      <c r="E131" s="236"/>
      <c r="F131" s="22">
        <f>G131+H131+I131</f>
        <v>22</v>
      </c>
      <c r="G131" s="23">
        <v>7</v>
      </c>
      <c r="H131" s="23">
        <v>1</v>
      </c>
      <c r="I131" s="24">
        <v>14</v>
      </c>
      <c r="J131" s="22">
        <f>K131+L131+M131</f>
        <v>23</v>
      </c>
      <c r="K131" s="23">
        <v>8</v>
      </c>
      <c r="L131" s="23">
        <v>4</v>
      </c>
      <c r="M131" s="23">
        <v>11</v>
      </c>
      <c r="N131" s="25">
        <f>O131+P131+Q131</f>
        <v>19</v>
      </c>
      <c r="O131" s="23">
        <v>7</v>
      </c>
      <c r="P131" s="23">
        <v>3</v>
      </c>
      <c r="Q131" s="23">
        <v>9</v>
      </c>
      <c r="T131" s="73"/>
      <c r="U131" s="74"/>
      <c r="V131" s="73"/>
      <c r="W131" s="2"/>
    </row>
    <row r="132" spans="2:23" x14ac:dyDescent="0.15">
      <c r="D132" s="237"/>
      <c r="E132" s="238"/>
      <c r="F132" s="40">
        <f>ROUND(F131/(F$117+F$121+F$119+F$131+F$123+F$125+F$127+F$129+F$133),3)</f>
        <v>3.3000000000000002E-2</v>
      </c>
      <c r="G132" s="41">
        <f t="shared" ref="G132" si="141">ROUND(G131/(G$117+G$121+G$119+G$131+G$123+G$125+G$127+G$129+G$133),3)</f>
        <v>0.115</v>
      </c>
      <c r="H132" s="41">
        <f>ROUND(H131/(H$117+H$121+H$119+H$131+H$123+H$125+H$127+H$129+H$133),3)+0.001</f>
        <v>6.0000000000000001E-3</v>
      </c>
      <c r="I132" s="42">
        <f>ROUND(I131/(I$117+I$121+I$119+I$131+I$123+I$125+I$127+I$129+I$133),3)-0.001</f>
        <v>3.2000000000000001E-2</v>
      </c>
      <c r="J132" s="40">
        <f>ROUND(J131/(J$117+J$121+J$119+J$131+J$123+J$125+J$127+J$129+J$133),3)</f>
        <v>3.3000000000000002E-2</v>
      </c>
      <c r="K132" s="41">
        <f t="shared" ref="K132" si="142">ROUND(K131/(K$117+K$121+K$119+K$131+K$123+K$125+K$127+K$129+K$133),3)</f>
        <v>0.107</v>
      </c>
      <c r="L132" s="41">
        <f>ROUND(L131/(L$117+L$121+L$119+L$131+L$123+L$125+L$127+L$129+L$133),3)+0.001</f>
        <v>1.9E-2</v>
      </c>
      <c r="M132" s="41">
        <f>ROUND(M131/(M$117+M$121+M$119+M$131+M$123+M$125+M$127+M$129+M$133),3)-0.001</f>
        <v>2.5999999999999999E-2</v>
      </c>
      <c r="N132" s="43">
        <f t="shared" ref="N132:Q132" si="143">ROUND(N131/(N$117+N$121+N$119+N$131+N$123+N$125+N$127+N$129+N$133+N$135),3)</f>
        <v>2.4E-2</v>
      </c>
      <c r="O132" s="41">
        <f t="shared" si="143"/>
        <v>0.106</v>
      </c>
      <c r="P132" s="41">
        <f t="shared" si="143"/>
        <v>1.2E-2</v>
      </c>
      <c r="Q132" s="41">
        <f t="shared" si="143"/>
        <v>1.9E-2</v>
      </c>
      <c r="R132" s="38"/>
      <c r="S132" s="38"/>
      <c r="T132" s="73"/>
      <c r="U132" s="74"/>
      <c r="V132" s="73"/>
      <c r="W132" s="2"/>
    </row>
    <row r="133" spans="2:23" x14ac:dyDescent="0.15">
      <c r="D133" s="188" t="s">
        <v>40</v>
      </c>
      <c r="E133" s="189"/>
      <c r="F133" s="22">
        <f>G133+H133+I133</f>
        <v>2</v>
      </c>
      <c r="G133" s="23">
        <v>0</v>
      </c>
      <c r="H133" s="23">
        <v>0</v>
      </c>
      <c r="I133" s="24">
        <v>2</v>
      </c>
      <c r="J133" s="22">
        <f>K133+L133+M133</f>
        <v>0</v>
      </c>
      <c r="K133" s="23">
        <v>0</v>
      </c>
      <c r="L133" s="23">
        <v>0</v>
      </c>
      <c r="M133" s="23">
        <v>0</v>
      </c>
      <c r="N133" s="25">
        <f>O133+P133+Q133</f>
        <v>4</v>
      </c>
      <c r="O133" s="23">
        <v>1</v>
      </c>
      <c r="P133" s="23">
        <v>1</v>
      </c>
      <c r="Q133" s="23">
        <v>2</v>
      </c>
      <c r="T133" s="73"/>
      <c r="U133" s="74"/>
      <c r="V133" s="73"/>
      <c r="W133" s="2"/>
    </row>
    <row r="134" spans="2:23" x14ac:dyDescent="0.15">
      <c r="D134" s="191"/>
      <c r="E134" s="192"/>
      <c r="F134" s="40">
        <f>ROUND(F133/(F$117+F$121+F$119+F$131+F$123+F$125+F$127+F$129+F$133),3)</f>
        <v>3.0000000000000001E-3</v>
      </c>
      <c r="G134" s="41">
        <f t="shared" ref="G134" si="144">ROUND(G133/(G$117+G$121+G$119+G$131+G$123+G$125+G$127+G$129+G$133),3)</f>
        <v>0</v>
      </c>
      <c r="H134" s="41">
        <f t="shared" ref="H134" si="145">ROUND(H133/(H$117+H$121+H$119+H$131+H$123+H$125+H$127+H$129+H$133),3)</f>
        <v>0</v>
      </c>
      <c r="I134" s="42">
        <f t="shared" ref="I134" si="146">ROUND(I133/(I$117+I$121+I$119+I$131+I$123+I$125+I$127+I$129+I$133),3)</f>
        <v>5.0000000000000001E-3</v>
      </c>
      <c r="J134" s="40">
        <f>ROUND(J133/(J$117+J$121+J$119+J$131+J$123+J$125+J$127+J$129+J$133),3)</f>
        <v>0</v>
      </c>
      <c r="K134" s="41">
        <f t="shared" ref="K134:M134" si="147">ROUND(K133/(K$117+K$121+K$119+K$131+K$123+K$125+K$127+K$129+K$133),3)</f>
        <v>0</v>
      </c>
      <c r="L134" s="41">
        <f t="shared" si="147"/>
        <v>0</v>
      </c>
      <c r="M134" s="41">
        <f t="shared" si="147"/>
        <v>0</v>
      </c>
      <c r="N134" s="43">
        <f t="shared" ref="N134:Q134" si="148">ROUND(N133/(N$117+N$121+N$119+N$131+N$123+N$125+N$127+N$129+N$133+N$135),3)</f>
        <v>5.0000000000000001E-3</v>
      </c>
      <c r="O134" s="41">
        <f t="shared" si="148"/>
        <v>1.4999999999999999E-2</v>
      </c>
      <c r="P134" s="41">
        <f t="shared" si="148"/>
        <v>4.0000000000000001E-3</v>
      </c>
      <c r="Q134" s="41">
        <f t="shared" si="148"/>
        <v>4.0000000000000001E-3</v>
      </c>
      <c r="R134" s="38"/>
      <c r="S134" s="38"/>
      <c r="T134" s="73"/>
      <c r="U134" s="74"/>
      <c r="V134" s="73"/>
      <c r="W134" s="2"/>
    </row>
    <row r="135" spans="2:23" x14ac:dyDescent="0.15">
      <c r="D135" s="188" t="s">
        <v>19</v>
      </c>
      <c r="E135" s="189"/>
      <c r="F135" s="182" t="s">
        <v>7</v>
      </c>
      <c r="G135" s="176" t="s">
        <v>7</v>
      </c>
      <c r="H135" s="176" t="s">
        <v>7</v>
      </c>
      <c r="I135" s="180" t="s">
        <v>7</v>
      </c>
      <c r="J135" s="182" t="s">
        <v>7</v>
      </c>
      <c r="K135" s="176" t="s">
        <v>7</v>
      </c>
      <c r="L135" s="176" t="s">
        <v>7</v>
      </c>
      <c r="M135" s="176" t="s">
        <v>7</v>
      </c>
      <c r="N135" s="25">
        <f>O135+P135+Q135</f>
        <v>21</v>
      </c>
      <c r="O135" s="23">
        <v>1</v>
      </c>
      <c r="P135" s="23">
        <v>6</v>
      </c>
      <c r="Q135" s="23">
        <v>14</v>
      </c>
      <c r="T135" s="278"/>
      <c r="U135" s="75"/>
      <c r="V135" s="76"/>
      <c r="W135" s="2"/>
    </row>
    <row r="136" spans="2:23" x14ac:dyDescent="0.15">
      <c r="D136" s="191"/>
      <c r="E136" s="192"/>
      <c r="F136" s="183"/>
      <c r="G136" s="177"/>
      <c r="H136" s="177"/>
      <c r="I136" s="181"/>
      <c r="J136" s="183"/>
      <c r="K136" s="177"/>
      <c r="L136" s="177"/>
      <c r="M136" s="177"/>
      <c r="N136" s="43">
        <f t="shared" ref="N136:Q136" si="149">ROUND(N135/(N$117+N$121+N$119+N$131+N$123+N$125+N$127+N$129+N$133+N$135),3)</f>
        <v>2.7E-2</v>
      </c>
      <c r="O136" s="41">
        <f t="shared" si="149"/>
        <v>1.4999999999999999E-2</v>
      </c>
      <c r="P136" s="41">
        <f t="shared" si="149"/>
        <v>2.3E-2</v>
      </c>
      <c r="Q136" s="41">
        <f t="shared" si="149"/>
        <v>0.03</v>
      </c>
      <c r="R136" s="38"/>
      <c r="S136" s="38"/>
      <c r="T136" s="278"/>
      <c r="U136" s="75"/>
      <c r="V136" s="76"/>
      <c r="W136" s="2"/>
    </row>
    <row r="137" spans="2:23" x14ac:dyDescent="0.15">
      <c r="D137" s="187" t="s">
        <v>20</v>
      </c>
      <c r="E137" s="194"/>
      <c r="F137" s="22">
        <f>F117+F121+F119+F131+F123+F125+F127+F129+F133</f>
        <v>665</v>
      </c>
      <c r="G137" s="23">
        <f t="shared" ref="G137:I137" si="150">G117+G121+G119+G131+G123+G125+G127+G129+G133</f>
        <v>61</v>
      </c>
      <c r="H137" s="23">
        <f t="shared" si="150"/>
        <v>183</v>
      </c>
      <c r="I137" s="24">
        <f t="shared" si="150"/>
        <v>421</v>
      </c>
      <c r="J137" s="22">
        <f>J117+J121+J119+J131+J123+J125+J127+J129+J133</f>
        <v>707</v>
      </c>
      <c r="K137" s="23">
        <f t="shared" ref="K137:M137" si="151">K117+K121+K119+K131+K123+K125+K127+K129+K133</f>
        <v>75</v>
      </c>
      <c r="L137" s="23">
        <f t="shared" si="151"/>
        <v>217</v>
      </c>
      <c r="M137" s="23">
        <f t="shared" si="151"/>
        <v>415</v>
      </c>
      <c r="N137" s="66">
        <f t="shared" ref="N137:Q137" si="152">N117+N121+N119+N131+N123+N125+N127+N129+N133+N135</f>
        <v>787</v>
      </c>
      <c r="O137" s="59">
        <f t="shared" si="152"/>
        <v>66</v>
      </c>
      <c r="P137" s="66">
        <f t="shared" si="152"/>
        <v>256</v>
      </c>
      <c r="Q137" s="59">
        <f t="shared" si="152"/>
        <v>465</v>
      </c>
      <c r="T137" s="73"/>
      <c r="U137" s="74"/>
      <c r="V137" s="73"/>
      <c r="W137" s="2"/>
    </row>
    <row r="138" spans="2:23" ht="14.25" thickBot="1" x14ac:dyDescent="0.2">
      <c r="D138" s="187"/>
      <c r="E138" s="194"/>
      <c r="F138" s="133">
        <f>F118+F122+F120+F132+F124+F126+F128+F130+F134</f>
        <v>1.0010000000000001</v>
      </c>
      <c r="G138" s="134">
        <f>G118+G122+G120+G132+G124+G126+G128+G130+G134</f>
        <v>1</v>
      </c>
      <c r="H138" s="134">
        <f t="shared" ref="H138:I138" si="153">H118+H122+H120+H132+H124+H126+H128+H130+H134</f>
        <v>1.002</v>
      </c>
      <c r="I138" s="135">
        <f t="shared" si="153"/>
        <v>0.99800000000000022</v>
      </c>
      <c r="J138" s="137">
        <f>J118+J122+J120+J132+J124+J126+J128+J130+J134</f>
        <v>1.0000000000000002</v>
      </c>
      <c r="K138" s="136">
        <f>K118+K122+K120+K132+K124+K126+K128+K130+K134</f>
        <v>1</v>
      </c>
      <c r="L138" s="136">
        <f t="shared" ref="L138:M138" si="154">L118+L122+L120+L132+L124+L126+L128+L130+L134</f>
        <v>1.0000000000000002</v>
      </c>
      <c r="M138" s="136">
        <f t="shared" si="154"/>
        <v>1.0000000000000002</v>
      </c>
      <c r="N138" s="132">
        <f t="shared" ref="N138:Q138" si="155">N118+N122+N120+N132+N124+N126+N128+N130+N134+N136</f>
        <v>1.0000000000000002</v>
      </c>
      <c r="O138" s="136">
        <f t="shared" si="155"/>
        <v>1</v>
      </c>
      <c r="P138" s="132">
        <f t="shared" si="155"/>
        <v>1.0000000000000002</v>
      </c>
      <c r="Q138" s="136">
        <f t="shared" si="155"/>
        <v>1.0000000000000002</v>
      </c>
      <c r="R138" s="50"/>
      <c r="S138" s="50"/>
      <c r="T138" s="73"/>
      <c r="U138" s="74"/>
      <c r="V138" s="73"/>
      <c r="W138" s="2"/>
    </row>
    <row r="139" spans="2:23" x14ac:dyDescent="0.15">
      <c r="F139" s="50"/>
      <c r="G139" s="50"/>
      <c r="H139" s="50"/>
      <c r="I139" s="50"/>
      <c r="J139" s="50"/>
      <c r="K139" s="69"/>
      <c r="L139" s="50"/>
      <c r="N139" s="50"/>
      <c r="O139" s="69"/>
      <c r="P139" s="50"/>
    </row>
    <row r="140" spans="2:23" x14ac:dyDescent="0.15">
      <c r="F140" s="50"/>
      <c r="G140" s="50"/>
      <c r="H140" s="50"/>
      <c r="I140" s="50"/>
      <c r="J140" s="50"/>
      <c r="K140" s="69"/>
      <c r="L140" s="50"/>
      <c r="N140" s="50"/>
      <c r="O140" s="69"/>
      <c r="P140" s="50"/>
    </row>
    <row r="141" spans="2:23" ht="14.25" thickBot="1" x14ac:dyDescent="0.2">
      <c r="B141" s="3" t="s">
        <v>72</v>
      </c>
      <c r="F141" s="10"/>
      <c r="K141" s="5"/>
      <c r="O141" s="5"/>
    </row>
    <row r="142" spans="2:23" x14ac:dyDescent="0.15">
      <c r="D142" s="70"/>
      <c r="E142" s="71"/>
      <c r="F142" s="184" t="s">
        <v>265</v>
      </c>
      <c r="G142" s="185"/>
      <c r="H142" s="185"/>
      <c r="I142" s="186"/>
      <c r="J142" s="182" t="s">
        <v>60</v>
      </c>
      <c r="K142" s="187"/>
      <c r="L142" s="187"/>
      <c r="M142" s="187"/>
      <c r="N142" s="197" t="s">
        <v>9</v>
      </c>
      <c r="O142" s="197"/>
      <c r="P142" s="197"/>
      <c r="Q142" s="198"/>
      <c r="R142" s="11"/>
      <c r="S142" s="11"/>
      <c r="T142" s="2"/>
      <c r="U142" s="12"/>
      <c r="V142" s="2"/>
      <c r="W142" s="2"/>
    </row>
    <row r="143" spans="2:23" x14ac:dyDescent="0.15">
      <c r="D143" s="72"/>
      <c r="E143" s="126"/>
      <c r="F143" s="124"/>
      <c r="G143" s="128" t="s">
        <v>11</v>
      </c>
      <c r="H143" s="128" t="s">
        <v>12</v>
      </c>
      <c r="I143" s="39" t="s">
        <v>13</v>
      </c>
      <c r="J143" s="124"/>
      <c r="K143" s="128" t="s">
        <v>11</v>
      </c>
      <c r="L143" s="128" t="s">
        <v>12</v>
      </c>
      <c r="M143" s="128" t="s">
        <v>13</v>
      </c>
      <c r="N143" s="15"/>
      <c r="O143" s="122" t="s">
        <v>11</v>
      </c>
      <c r="P143" s="122" t="s">
        <v>12</v>
      </c>
      <c r="Q143" s="122" t="s">
        <v>13</v>
      </c>
      <c r="R143" s="16"/>
      <c r="S143" s="16"/>
      <c r="T143" s="2"/>
      <c r="U143" s="12"/>
      <c r="V143" s="2"/>
      <c r="W143" s="2"/>
    </row>
    <row r="144" spans="2:23" x14ac:dyDescent="0.15">
      <c r="D144" s="188" t="s">
        <v>41</v>
      </c>
      <c r="E144" s="189"/>
      <c r="F144" s="77">
        <f>G144+H144+I144</f>
        <v>503</v>
      </c>
      <c r="G144" s="23">
        <v>26</v>
      </c>
      <c r="H144" s="23">
        <v>150</v>
      </c>
      <c r="I144" s="24">
        <v>327</v>
      </c>
      <c r="J144" s="77">
        <f>K144+L144+M144</f>
        <v>546</v>
      </c>
      <c r="K144" s="23">
        <v>43</v>
      </c>
      <c r="L144" s="23">
        <v>167</v>
      </c>
      <c r="M144" s="23">
        <v>336</v>
      </c>
      <c r="N144" s="78">
        <f>O144+P144+Q144</f>
        <v>590</v>
      </c>
      <c r="O144" s="23">
        <v>32</v>
      </c>
      <c r="P144" s="23">
        <v>200</v>
      </c>
      <c r="Q144" s="23">
        <v>358</v>
      </c>
      <c r="T144" s="2"/>
      <c r="U144" s="12"/>
      <c r="V144" s="2"/>
      <c r="W144" s="2"/>
    </row>
    <row r="145" spans="4:23" x14ac:dyDescent="0.15">
      <c r="D145" s="191"/>
      <c r="E145" s="192"/>
      <c r="F145" s="40">
        <f>ROUND(F144/(F$144+F$148+F$146+F$158+F$150+F$152+F$154+F$156+F$160+F$160),3)</f>
        <v>0.75900000000000001</v>
      </c>
      <c r="G145" s="41">
        <f>ROUND(G144/(G$144+G$148+G$146+G$158+G$150+G$152+G$154+G$156+G$160+G$160),3)</f>
        <v>0.433</v>
      </c>
      <c r="H145" s="41">
        <f t="shared" ref="H145" si="156">ROUND(H144/(H$144+H$148+H$146+H$158+H$150+H$152+H$154+H$156+H$160+H$160),3)</f>
        <v>0.82</v>
      </c>
      <c r="I145" s="42">
        <f>ROUND(I144/(I$144+I$148+I$146+I$158+I$150+I$152+I$154+I$156+I$160+I$160),3)</f>
        <v>0.77900000000000003</v>
      </c>
      <c r="J145" s="40">
        <f>ROUND(J144/(J$144+J$148+J$146+J$158+J$150+J$152+J$154+J$156+J$160+J$160),3)</f>
        <v>0.78</v>
      </c>
      <c r="K145" s="41">
        <f t="shared" ref="K145:M145" si="157">ROUND(K144/(K$144+K$148+K$146+K$158+K$150+K$152+K$154+K$156+K$160+K$160),3)</f>
        <v>0.56599999999999995</v>
      </c>
      <c r="L145" s="41">
        <f t="shared" si="157"/>
        <v>0.79100000000000004</v>
      </c>
      <c r="M145" s="41">
        <f t="shared" si="157"/>
        <v>0.81399999999999995</v>
      </c>
      <c r="N145" s="43">
        <v>0.75</v>
      </c>
      <c r="O145" s="41">
        <v>0.48499999999999999</v>
      </c>
      <c r="P145" s="41">
        <f t="shared" ref="P145" si="158">ROUND(P144/(P$144+P$148+P$146+P$158+P$150+P$152+P$154+P$156+P$160+P$160+P$162),3)</f>
        <v>0.78100000000000003</v>
      </c>
      <c r="Q145" s="41">
        <v>0.77</v>
      </c>
      <c r="R145" s="38"/>
      <c r="S145" s="38"/>
      <c r="T145" s="2"/>
      <c r="U145" s="12"/>
      <c r="V145" s="2"/>
      <c r="W145" s="2"/>
    </row>
    <row r="146" spans="4:23" x14ac:dyDescent="0.15">
      <c r="D146" s="188" t="s">
        <v>33</v>
      </c>
      <c r="E146" s="189"/>
      <c r="F146" s="77">
        <f>G146+H146+I146</f>
        <v>45</v>
      </c>
      <c r="G146" s="23">
        <v>6</v>
      </c>
      <c r="H146" s="23">
        <v>8</v>
      </c>
      <c r="I146" s="24">
        <v>31</v>
      </c>
      <c r="J146" s="77">
        <f>K146+L146+M146</f>
        <v>42</v>
      </c>
      <c r="K146" s="23">
        <v>2</v>
      </c>
      <c r="L146" s="23">
        <v>13</v>
      </c>
      <c r="M146" s="23">
        <v>27</v>
      </c>
      <c r="N146" s="78">
        <f>O146+P146+Q146</f>
        <v>46</v>
      </c>
      <c r="O146" s="23">
        <v>1</v>
      </c>
      <c r="P146" s="23">
        <v>16</v>
      </c>
      <c r="Q146" s="23">
        <v>29</v>
      </c>
      <c r="T146" s="2"/>
      <c r="U146" s="12"/>
      <c r="V146" s="2"/>
      <c r="W146" s="2"/>
    </row>
    <row r="147" spans="4:23" x14ac:dyDescent="0.15">
      <c r="D147" s="191"/>
      <c r="E147" s="192"/>
      <c r="F147" s="40">
        <f>ROUND(F146/(F$144+F$148+F$146+F$158+F$150+F$152+F$154+F$156+F$160+F$160),3)</f>
        <v>6.8000000000000005E-2</v>
      </c>
      <c r="G147" s="41">
        <f t="shared" ref="G147:H147" si="159">ROUND(G146/(G$144+G$148+G$146+G$158+G$150+G$152+G$154+G$156+G$160+G$160),3)</f>
        <v>0.1</v>
      </c>
      <c r="H147" s="41">
        <f t="shared" si="159"/>
        <v>4.3999999999999997E-2</v>
      </c>
      <c r="I147" s="42">
        <f>ROUND(I146/(I$144+I$148+I$146+I$158+I$150+I$152+I$154+I$156+I$160+I$160),3)</f>
        <v>7.3999999999999996E-2</v>
      </c>
      <c r="J147" s="40">
        <f>ROUND(J146/(J$144+J$148+J$146+J$158+J$150+J$152+J$154+J$156+J$160+J$160),3)</f>
        <v>0.06</v>
      </c>
      <c r="K147" s="41">
        <f t="shared" ref="K147:M147" si="160">ROUND(K146/(K$144+K$148+K$146+K$158+K$150+K$152+K$154+K$156+K$160+K$160),3)</f>
        <v>2.5999999999999999E-2</v>
      </c>
      <c r="L147" s="41">
        <f t="shared" si="160"/>
        <v>6.2E-2</v>
      </c>
      <c r="M147" s="41">
        <f t="shared" si="160"/>
        <v>6.5000000000000002E-2</v>
      </c>
      <c r="N147" s="43">
        <f t="shared" ref="N147:O147" si="161">ROUND(N146/(N$144+N$148+N$146+N$158+N$150+N$152+N$154+N$156+N$160+N$160+N$162),3)</f>
        <v>5.8000000000000003E-2</v>
      </c>
      <c r="O147" s="41">
        <f t="shared" si="161"/>
        <v>1.4999999999999999E-2</v>
      </c>
      <c r="P147" s="41">
        <f>ROUND(P146/(P$144+P$148+P$146+P$158+P$150+P$152+P$154+P$156+P$160+P$160+P$162),3)-0.001</f>
        <v>6.2E-2</v>
      </c>
      <c r="Q147" s="41">
        <f t="shared" ref="Q147" si="162">ROUND(Q146/(Q$144+Q$148+Q$146+Q$158+Q$150+Q$152+Q$154+Q$156+Q$160+Q$160+Q$162),3)</f>
        <v>6.2E-2</v>
      </c>
      <c r="R147" s="38"/>
      <c r="S147" s="38"/>
      <c r="T147" s="2"/>
      <c r="U147" s="12"/>
      <c r="V147" s="2"/>
      <c r="W147" s="2"/>
    </row>
    <row r="148" spans="4:23" x14ac:dyDescent="0.15">
      <c r="D148" s="188" t="s">
        <v>34</v>
      </c>
      <c r="E148" s="189"/>
      <c r="F148" s="77">
        <f>G148+H148+I148</f>
        <v>43</v>
      </c>
      <c r="G148" s="23">
        <v>10</v>
      </c>
      <c r="H148" s="23">
        <v>11</v>
      </c>
      <c r="I148" s="24">
        <v>22</v>
      </c>
      <c r="J148" s="77">
        <f>K148+L148+M148</f>
        <v>38</v>
      </c>
      <c r="K148" s="23">
        <v>9</v>
      </c>
      <c r="L148" s="23">
        <v>13</v>
      </c>
      <c r="M148" s="23">
        <v>16</v>
      </c>
      <c r="N148" s="78">
        <f>O148+P148+Q148</f>
        <v>80</v>
      </c>
      <c r="O148" s="23">
        <v>19</v>
      </c>
      <c r="P148" s="23">
        <v>20</v>
      </c>
      <c r="Q148" s="23">
        <v>41</v>
      </c>
      <c r="T148" s="2"/>
      <c r="U148" s="12"/>
      <c r="V148" s="2"/>
      <c r="W148" s="2"/>
    </row>
    <row r="149" spans="4:23" x14ac:dyDescent="0.15">
      <c r="D149" s="191"/>
      <c r="E149" s="192"/>
      <c r="F149" s="40">
        <f>ROUND(F148/(F$144+F$148+F$146+F$158+F$150+F$152+F$154+F$156+F$160+F$160),3)</f>
        <v>6.5000000000000002E-2</v>
      </c>
      <c r="G149" s="41">
        <f t="shared" ref="G149:I149" si="163">ROUND(G148/(G$144+G$148+G$146+G$158+G$150+G$152+G$154+G$156+G$160+G$160),3)</f>
        <v>0.16700000000000001</v>
      </c>
      <c r="H149" s="41">
        <f t="shared" si="163"/>
        <v>0.06</v>
      </c>
      <c r="I149" s="42">
        <f t="shared" si="163"/>
        <v>5.1999999999999998E-2</v>
      </c>
      <c r="J149" s="40">
        <f>ROUND(J148/(J$144+J$148+J$146+J$158+J$150+J$152+J$154+J$156+J$160+J$160),3)</f>
        <v>5.3999999999999999E-2</v>
      </c>
      <c r="K149" s="41">
        <f t="shared" ref="K149:M149" si="164">ROUND(K148/(K$144+K$148+K$146+K$158+K$150+K$152+K$154+K$156+K$160+K$160),3)</f>
        <v>0.11799999999999999</v>
      </c>
      <c r="L149" s="41">
        <f t="shared" si="164"/>
        <v>6.2E-2</v>
      </c>
      <c r="M149" s="41">
        <f t="shared" si="164"/>
        <v>3.9E-2</v>
      </c>
      <c r="N149" s="43">
        <v>0.10199999999999999</v>
      </c>
      <c r="O149" s="41">
        <v>0.28799999999999998</v>
      </c>
      <c r="P149" s="41">
        <f t="shared" ref="P149:Q149" si="165">ROUND(P148/(P$144+P$148+P$146+P$158+P$150+P$152+P$154+P$156+P$160+P$160+P$162),3)</f>
        <v>7.8E-2</v>
      </c>
      <c r="Q149" s="41">
        <f t="shared" si="165"/>
        <v>8.7999999999999995E-2</v>
      </c>
      <c r="R149" s="38"/>
      <c r="S149" s="38"/>
      <c r="T149" s="2"/>
      <c r="U149" s="12"/>
      <c r="V149" s="2"/>
      <c r="W149" s="2"/>
    </row>
    <row r="150" spans="4:23" x14ac:dyDescent="0.15">
      <c r="D150" s="188" t="s">
        <v>35</v>
      </c>
      <c r="E150" s="189"/>
      <c r="F150" s="77">
        <f>G150+H150+I150</f>
        <v>21</v>
      </c>
      <c r="G150" s="23">
        <v>3</v>
      </c>
      <c r="H150" s="23">
        <v>6</v>
      </c>
      <c r="I150" s="24">
        <v>12</v>
      </c>
      <c r="J150" s="77">
        <f>K150+L150+M150</f>
        <v>26</v>
      </c>
      <c r="K150" s="23">
        <v>6</v>
      </c>
      <c r="L150" s="23">
        <v>8</v>
      </c>
      <c r="M150" s="23">
        <v>12</v>
      </c>
      <c r="N150" s="78">
        <f>O150+P150+Q150</f>
        <v>26</v>
      </c>
      <c r="O150" s="23">
        <v>2</v>
      </c>
      <c r="P150" s="23">
        <v>10</v>
      </c>
      <c r="Q150" s="23">
        <v>14</v>
      </c>
      <c r="T150" s="2"/>
      <c r="U150" s="12"/>
      <c r="V150" s="2"/>
      <c r="W150" s="2"/>
    </row>
    <row r="151" spans="4:23" x14ac:dyDescent="0.15">
      <c r="D151" s="191"/>
      <c r="E151" s="192"/>
      <c r="F151" s="40">
        <f>ROUND(F150/(F$144+F$148+F$146+F$158+F$150+F$152+F$154+F$156+F$160+F$160),3)</f>
        <v>3.2000000000000001E-2</v>
      </c>
      <c r="G151" s="41">
        <f t="shared" ref="G151:H151" si="166">ROUND(G150/(G$144+G$148+G$146+G$158+G$150+G$152+G$154+G$156+G$160+G$160),3)</f>
        <v>0.05</v>
      </c>
      <c r="H151" s="41">
        <f t="shared" si="166"/>
        <v>3.3000000000000002E-2</v>
      </c>
      <c r="I151" s="42">
        <f>ROUND(I150/(I$144+I$148+I$146+I$158+I$150+I$152+I$154+I$156+I$160+I$160),3)</f>
        <v>2.9000000000000001E-2</v>
      </c>
      <c r="J151" s="40">
        <f>ROUND(J150/(J$144+J$148+J$146+J$158+J$150+J$152+J$154+J$156+J$160+J$160),3)</f>
        <v>3.6999999999999998E-2</v>
      </c>
      <c r="K151" s="41">
        <f t="shared" ref="K151:M151" si="167">ROUND(K150/(K$144+K$148+K$146+K$158+K$150+K$152+K$154+K$156+K$160+K$160),3)</f>
        <v>7.9000000000000001E-2</v>
      </c>
      <c r="L151" s="41">
        <f t="shared" si="167"/>
        <v>3.7999999999999999E-2</v>
      </c>
      <c r="M151" s="41">
        <f t="shared" si="167"/>
        <v>2.9000000000000001E-2</v>
      </c>
      <c r="N151" s="43">
        <f t="shared" ref="N151:Q151" si="168">ROUND(N150/(N$144+N$148+N$146+N$158+N$150+N$152+N$154+N$156+N$160+N$160+N$162),3)</f>
        <v>3.3000000000000002E-2</v>
      </c>
      <c r="O151" s="41">
        <f t="shared" si="168"/>
        <v>0.03</v>
      </c>
      <c r="P151" s="41">
        <f t="shared" si="168"/>
        <v>3.9E-2</v>
      </c>
      <c r="Q151" s="41">
        <f t="shared" si="168"/>
        <v>0.03</v>
      </c>
      <c r="R151" s="38"/>
      <c r="S151" s="38"/>
      <c r="T151" s="2"/>
      <c r="U151" s="12"/>
      <c r="V151" s="2"/>
      <c r="W151" s="2"/>
    </row>
    <row r="152" spans="4:23" x14ac:dyDescent="0.15">
      <c r="D152" s="188" t="s">
        <v>36</v>
      </c>
      <c r="E152" s="189"/>
      <c r="F152" s="77">
        <f>G152+H152+I152</f>
        <v>10</v>
      </c>
      <c r="G152" s="23">
        <v>2</v>
      </c>
      <c r="H152" s="23">
        <v>2</v>
      </c>
      <c r="I152" s="24">
        <v>6</v>
      </c>
      <c r="J152" s="77">
        <f>K152+L152+M152</f>
        <v>16</v>
      </c>
      <c r="K152" s="23">
        <v>6</v>
      </c>
      <c r="L152" s="23">
        <v>3</v>
      </c>
      <c r="M152" s="23">
        <v>7</v>
      </c>
      <c r="N152" s="78">
        <f>O152+P152+Q152</f>
        <v>11</v>
      </c>
      <c r="O152" s="23">
        <v>0</v>
      </c>
      <c r="P152" s="23">
        <v>5</v>
      </c>
      <c r="Q152" s="23">
        <v>6</v>
      </c>
      <c r="T152" s="2"/>
      <c r="U152" s="12"/>
      <c r="V152" s="2"/>
      <c r="W152" s="2"/>
    </row>
    <row r="153" spans="4:23" x14ac:dyDescent="0.15">
      <c r="D153" s="191"/>
      <c r="E153" s="192"/>
      <c r="F153" s="40">
        <f>ROUND(F152/(F$144+F$148+F$146+F$158+F$150+F$152+F$154+F$156+F$160+F$160),3)</f>
        <v>1.4999999999999999E-2</v>
      </c>
      <c r="G153" s="41">
        <f t="shared" ref="G153:I153" si="169">ROUND(G152/(G$144+G$148+G$146+G$158+G$150+G$152+G$154+G$156+G$160+G$160),3)</f>
        <v>3.3000000000000002E-2</v>
      </c>
      <c r="H153" s="41">
        <f t="shared" si="169"/>
        <v>1.0999999999999999E-2</v>
      </c>
      <c r="I153" s="42">
        <f t="shared" si="169"/>
        <v>1.4E-2</v>
      </c>
      <c r="J153" s="40">
        <f>ROUND(J152/(J$144+J$148+J$146+J$158+J$150+J$152+J$154+J$156+J$160+J$160),3)</f>
        <v>2.3E-2</v>
      </c>
      <c r="K153" s="41">
        <f t="shared" ref="K153:M153" si="170">ROUND(K152/(K$144+K$148+K$146+K$158+K$150+K$152+K$154+K$156+K$160+K$160),3)</f>
        <v>7.9000000000000001E-2</v>
      </c>
      <c r="L153" s="41">
        <f t="shared" si="170"/>
        <v>1.4E-2</v>
      </c>
      <c r="M153" s="41">
        <f t="shared" si="170"/>
        <v>1.7000000000000001E-2</v>
      </c>
      <c r="N153" s="43">
        <f t="shared" ref="N153:P153" si="171">ROUND(N152/(N$144+N$148+N$146+N$158+N$150+N$152+N$154+N$156+N$160+N$160+N$162),3)</f>
        <v>1.4E-2</v>
      </c>
      <c r="O153" s="41">
        <f t="shared" si="171"/>
        <v>0</v>
      </c>
      <c r="P153" s="41">
        <f t="shared" si="171"/>
        <v>0.02</v>
      </c>
      <c r="Q153" s="41">
        <f>ROUND(Q152/(Q$144+Q$148+Q$146+Q$158+Q$150+Q$152+Q$154+Q$156+Q$160+Q$160+Q$162),3)-0.001</f>
        <v>1.2E-2</v>
      </c>
      <c r="R153" s="38"/>
      <c r="S153" s="38"/>
      <c r="T153" s="2"/>
      <c r="U153" s="12"/>
      <c r="V153" s="2"/>
      <c r="W153" s="2"/>
    </row>
    <row r="154" spans="4:23" x14ac:dyDescent="0.15">
      <c r="D154" s="188" t="s">
        <v>37</v>
      </c>
      <c r="E154" s="189"/>
      <c r="F154" s="77">
        <f>G154+H154+I154</f>
        <v>10</v>
      </c>
      <c r="G154" s="23">
        <v>4</v>
      </c>
      <c r="H154" s="23">
        <v>1</v>
      </c>
      <c r="I154" s="24">
        <v>5</v>
      </c>
      <c r="J154" s="77">
        <f>K154+L154+M154</f>
        <v>9</v>
      </c>
      <c r="K154" s="23">
        <v>3</v>
      </c>
      <c r="L154" s="23">
        <v>3</v>
      </c>
      <c r="M154" s="23">
        <v>3</v>
      </c>
      <c r="N154" s="78">
        <f>O154+P154+Q154</f>
        <v>8</v>
      </c>
      <c r="O154" s="23">
        <v>2</v>
      </c>
      <c r="P154" s="23">
        <v>2</v>
      </c>
      <c r="Q154" s="23">
        <v>4</v>
      </c>
      <c r="T154" s="2"/>
      <c r="U154" s="12"/>
      <c r="V154" s="2"/>
      <c r="W154" s="2"/>
    </row>
    <row r="155" spans="4:23" x14ac:dyDescent="0.15">
      <c r="D155" s="191"/>
      <c r="E155" s="192"/>
      <c r="F155" s="40">
        <f>ROUND(F154/(F$144+F$148+F$146+F$158+F$150+F$152+F$154+F$156+F$160+F$160),3)</f>
        <v>1.4999999999999999E-2</v>
      </c>
      <c r="G155" s="41">
        <f t="shared" ref="G155:H155" si="172">ROUND(G154/(G$144+G$148+G$146+G$158+G$150+G$152+G$154+G$156+G$160+G$160),3)</f>
        <v>6.7000000000000004E-2</v>
      </c>
      <c r="H155" s="41">
        <f t="shared" si="172"/>
        <v>5.0000000000000001E-3</v>
      </c>
      <c r="I155" s="42">
        <f>ROUND(I154/(I$144+I$148+I$146+I$158+I$150+I$152+I$154+I$156+I$160+I$160),3)</f>
        <v>1.2E-2</v>
      </c>
      <c r="J155" s="40">
        <f>ROUND(J154/(J$144+J$148+J$146+J$158+J$150+J$152+J$154+J$156+J$160+J$160),3)</f>
        <v>1.2999999999999999E-2</v>
      </c>
      <c r="K155" s="41">
        <f>ROUND(K154/(K$144+K$148+K$146+K$158+K$150+K$152+K$154+K$156+K$160+K$160),3)+0.001</f>
        <v>0.04</v>
      </c>
      <c r="L155" s="41">
        <f t="shared" ref="L155:M155" si="173">ROUND(L154/(L$144+L$148+L$146+L$158+L$150+L$152+L$154+L$156+L$160+L$160),3)</f>
        <v>1.4E-2</v>
      </c>
      <c r="M155" s="41">
        <f t="shared" si="173"/>
        <v>7.0000000000000001E-3</v>
      </c>
      <c r="N155" s="43">
        <f t="shared" ref="N155:Q155" si="174">ROUND(N154/(N$144+N$148+N$146+N$158+N$150+N$152+N$154+N$156+N$160+N$160+N$162),3)</f>
        <v>0.01</v>
      </c>
      <c r="O155" s="41">
        <f t="shared" si="174"/>
        <v>0.03</v>
      </c>
      <c r="P155" s="41">
        <f t="shared" si="174"/>
        <v>8.0000000000000002E-3</v>
      </c>
      <c r="Q155" s="41">
        <f t="shared" si="174"/>
        <v>8.9999999999999993E-3</v>
      </c>
      <c r="R155" s="38"/>
      <c r="S155" s="38"/>
      <c r="T155" s="2"/>
      <c r="U155" s="12"/>
      <c r="V155" s="2"/>
      <c r="W155" s="2"/>
    </row>
    <row r="156" spans="4:23" x14ac:dyDescent="0.15">
      <c r="D156" s="188" t="s">
        <v>38</v>
      </c>
      <c r="E156" s="189"/>
      <c r="F156" s="77">
        <f>G156+H156+I156</f>
        <v>7</v>
      </c>
      <c r="G156" s="23">
        <v>2</v>
      </c>
      <c r="H156" s="23">
        <v>1</v>
      </c>
      <c r="I156" s="24">
        <v>4</v>
      </c>
      <c r="J156" s="77">
        <f>K156+L156+M156</f>
        <v>7</v>
      </c>
      <c r="K156" s="23">
        <v>2</v>
      </c>
      <c r="L156" s="23">
        <v>1</v>
      </c>
      <c r="M156" s="23">
        <v>4</v>
      </c>
      <c r="N156" s="78">
        <f>O156+P156+Q156</f>
        <v>6</v>
      </c>
      <c r="O156" s="23">
        <v>0</v>
      </c>
      <c r="P156" s="23">
        <v>2</v>
      </c>
      <c r="Q156" s="23">
        <v>4</v>
      </c>
      <c r="T156" s="2"/>
      <c r="U156" s="12"/>
      <c r="V156" s="2"/>
      <c r="W156" s="2"/>
    </row>
    <row r="157" spans="4:23" x14ac:dyDescent="0.15">
      <c r="D157" s="191"/>
      <c r="E157" s="192"/>
      <c r="F157" s="40">
        <f>ROUND(F156/(F$144+F$148+F$146+F$158+F$150+F$152+F$154+F$156+F$160+F$160),3)</f>
        <v>1.0999999999999999E-2</v>
      </c>
      <c r="G157" s="41">
        <f t="shared" ref="G157:I157" si="175">ROUND(G156/(G$144+G$148+G$146+G$158+G$150+G$152+G$154+G$156+G$160+G$160),3)</f>
        <v>3.3000000000000002E-2</v>
      </c>
      <c r="H157" s="41">
        <f t="shared" si="175"/>
        <v>5.0000000000000001E-3</v>
      </c>
      <c r="I157" s="42">
        <f t="shared" si="175"/>
        <v>0.01</v>
      </c>
      <c r="J157" s="40">
        <f>ROUND(J156/(J$144+J$148+J$146+J$158+J$150+J$152+J$154+J$156+J$160+J$160),3)</f>
        <v>0.01</v>
      </c>
      <c r="K157" s="41">
        <f t="shared" ref="K157:M157" si="176">ROUND(K156/(K$144+K$148+K$146+K$158+K$150+K$152+K$154+K$156+K$160+K$160),3)</f>
        <v>2.5999999999999999E-2</v>
      </c>
      <c r="L157" s="41">
        <f t="shared" si="176"/>
        <v>5.0000000000000001E-3</v>
      </c>
      <c r="M157" s="41">
        <f t="shared" si="176"/>
        <v>0.01</v>
      </c>
      <c r="N157" s="43">
        <f t="shared" ref="N157:Q157" si="177">ROUND(N156/(N$144+N$148+N$146+N$158+N$150+N$152+N$154+N$156+N$160+N$160+N$162),3)</f>
        <v>8.0000000000000002E-3</v>
      </c>
      <c r="O157" s="41">
        <f t="shared" si="177"/>
        <v>0</v>
      </c>
      <c r="P157" s="41">
        <f t="shared" si="177"/>
        <v>8.0000000000000002E-3</v>
      </c>
      <c r="Q157" s="41">
        <f t="shared" si="177"/>
        <v>8.9999999999999993E-3</v>
      </c>
      <c r="R157" s="38"/>
      <c r="S157" s="38"/>
      <c r="T157" s="2"/>
      <c r="U157" s="12"/>
      <c r="V157" s="2"/>
      <c r="W157" s="2"/>
    </row>
    <row r="158" spans="4:23" x14ac:dyDescent="0.15">
      <c r="D158" s="235" t="s">
        <v>39</v>
      </c>
      <c r="E158" s="236"/>
      <c r="F158" s="77">
        <f>G158+H158+I158</f>
        <v>20</v>
      </c>
      <c r="G158" s="23">
        <v>7</v>
      </c>
      <c r="H158" s="23">
        <v>2</v>
      </c>
      <c r="I158" s="24">
        <v>11</v>
      </c>
      <c r="J158" s="77">
        <f>K158+L158+M158</f>
        <v>16</v>
      </c>
      <c r="K158" s="23">
        <v>5</v>
      </c>
      <c r="L158" s="23">
        <v>3</v>
      </c>
      <c r="M158" s="23">
        <v>8</v>
      </c>
      <c r="N158" s="78">
        <f>O158+P158+Q158</f>
        <v>12</v>
      </c>
      <c r="O158" s="23">
        <v>7</v>
      </c>
      <c r="P158" s="23">
        <v>1</v>
      </c>
      <c r="Q158" s="23">
        <v>4</v>
      </c>
      <c r="T158" s="2"/>
      <c r="U158" s="12"/>
      <c r="V158" s="2"/>
      <c r="W158" s="2"/>
    </row>
    <row r="159" spans="4:23" x14ac:dyDescent="0.15">
      <c r="D159" s="237"/>
      <c r="E159" s="238"/>
      <c r="F159" s="40">
        <f>ROUND(F158/(F$144+F$148+F$146+F$158+F$150+F$152+F$154+F$156+F$160+F$160),3)</f>
        <v>0.03</v>
      </c>
      <c r="G159" s="41">
        <f t="shared" ref="G159:I159" si="178">ROUND(G158/(G$144+G$148+G$146+G$158+G$150+G$152+G$154+G$156+G$160+G$160),3)</f>
        <v>0.11700000000000001</v>
      </c>
      <c r="H159" s="41">
        <f t="shared" si="178"/>
        <v>1.0999999999999999E-2</v>
      </c>
      <c r="I159" s="42">
        <f t="shared" si="178"/>
        <v>2.5999999999999999E-2</v>
      </c>
      <c r="J159" s="40">
        <f>ROUND(J158/(J$144+J$148+J$146+J$158+J$150+J$152+J$154+J$156+J$160+J$160),3)</f>
        <v>2.3E-2</v>
      </c>
      <c r="K159" s="41">
        <f t="shared" ref="K159:M159" si="179">ROUND(K158/(K$144+K$148+K$146+K$158+K$150+K$152+K$154+K$156+K$160+K$160),3)</f>
        <v>6.6000000000000003E-2</v>
      </c>
      <c r="L159" s="41">
        <f t="shared" si="179"/>
        <v>1.4E-2</v>
      </c>
      <c r="M159" s="41">
        <f t="shared" si="179"/>
        <v>1.9E-2</v>
      </c>
      <c r="N159" s="43">
        <f t="shared" ref="N159" si="180">ROUND(N158/(N$144+N$148+N$146+N$158+N$150+N$152+N$154+N$156+N$160+N$160+N$162),3)</f>
        <v>1.4999999999999999E-2</v>
      </c>
      <c r="O159" s="41">
        <v>0.107</v>
      </c>
      <c r="P159" s="41">
        <f>ROUND(P158/(P$144+P$148+P$146+P$158+P$150+P$152+P$154+P$156+P$160+P$160+P$162),3)</f>
        <v>4.0000000000000001E-3</v>
      </c>
      <c r="Q159" s="41">
        <f t="shared" ref="Q159" si="181">ROUND(Q158/(Q$144+Q$148+Q$146+Q$158+Q$150+Q$152+Q$154+Q$156+Q$160+Q$160+Q$162),3)</f>
        <v>8.9999999999999993E-3</v>
      </c>
      <c r="R159" s="38"/>
      <c r="S159" s="38"/>
      <c r="T159" s="2"/>
      <c r="U159" s="12"/>
      <c r="V159" s="2"/>
      <c r="W159" s="2"/>
    </row>
    <row r="160" spans="4:23" x14ac:dyDescent="0.15">
      <c r="D160" s="188" t="s">
        <v>42</v>
      </c>
      <c r="E160" s="189"/>
      <c r="F160" s="77">
        <f>G160+H160+I160</f>
        <v>2</v>
      </c>
      <c r="G160" s="23">
        <v>0</v>
      </c>
      <c r="H160" s="23">
        <v>1</v>
      </c>
      <c r="I160" s="24">
        <v>1</v>
      </c>
      <c r="J160" s="77">
        <f>K160+L160+M160</f>
        <v>0</v>
      </c>
      <c r="K160" s="23">
        <v>0</v>
      </c>
      <c r="L160" s="23">
        <v>0</v>
      </c>
      <c r="M160" s="23">
        <v>0</v>
      </c>
      <c r="N160" s="78">
        <f>O160+P160+Q160</f>
        <v>2</v>
      </c>
      <c r="O160" s="23">
        <v>1</v>
      </c>
      <c r="P160" s="23">
        <v>0</v>
      </c>
      <c r="Q160" s="23">
        <v>1</v>
      </c>
      <c r="T160" s="2"/>
      <c r="U160" s="12"/>
      <c r="V160" s="2"/>
      <c r="W160" s="2"/>
    </row>
    <row r="161" spans="2:23" x14ac:dyDescent="0.15">
      <c r="D161" s="191"/>
      <c r="E161" s="192"/>
      <c r="F161" s="40">
        <f>ROUND(F160/(F$144+F$148+F$146+F$158+F$150+F$152+F$154+F$156+F$160+F$160),3)</f>
        <v>3.0000000000000001E-3</v>
      </c>
      <c r="G161" s="41">
        <f t="shared" ref="G161:I161" si="182">ROUND(G160/(G$144+G$148+G$146+G$158+G$150+G$152+G$154+G$156+G$160+G$160),3)</f>
        <v>0</v>
      </c>
      <c r="H161" s="41">
        <f t="shared" si="182"/>
        <v>5.0000000000000001E-3</v>
      </c>
      <c r="I161" s="42">
        <f t="shared" si="182"/>
        <v>2E-3</v>
      </c>
      <c r="J161" s="40">
        <f>ROUND(J160/(J$144+J$148+J$146+J$158+J$150+J$152+J$154+J$156+J$160+J$160),3)</f>
        <v>0</v>
      </c>
      <c r="K161" s="41">
        <f t="shared" ref="K161:M161" si="183">ROUND(K160/(K$144+K$148+K$146+K$158+K$150+K$152+K$154+K$156+K$160+K$160),3)</f>
        <v>0</v>
      </c>
      <c r="L161" s="41">
        <f t="shared" si="183"/>
        <v>0</v>
      </c>
      <c r="M161" s="41">
        <f t="shared" si="183"/>
        <v>0</v>
      </c>
      <c r="N161" s="43">
        <v>2E-3</v>
      </c>
      <c r="O161" s="41">
        <f t="shared" ref="O161:Q161" si="184">ROUND(O160/(O$144+O$148+O$146+O$158+O$150+O$152+O$154+O$156+O$160+O$160+O$162),3)</f>
        <v>1.4999999999999999E-2</v>
      </c>
      <c r="P161" s="41">
        <f t="shared" si="184"/>
        <v>0</v>
      </c>
      <c r="Q161" s="41">
        <f t="shared" si="184"/>
        <v>2E-3</v>
      </c>
      <c r="R161" s="38"/>
      <c r="S161" s="38"/>
      <c r="T161" s="2"/>
      <c r="U161" s="12"/>
      <c r="V161" s="2"/>
      <c r="W161" s="2"/>
    </row>
    <row r="162" spans="2:23" x14ac:dyDescent="0.15">
      <c r="D162" s="188" t="s">
        <v>19</v>
      </c>
      <c r="E162" s="189"/>
      <c r="F162" s="182" t="s">
        <v>7</v>
      </c>
      <c r="G162" s="176" t="s">
        <v>7</v>
      </c>
      <c r="H162" s="176" t="s">
        <v>7</v>
      </c>
      <c r="I162" s="180" t="s">
        <v>7</v>
      </c>
      <c r="J162" s="182" t="s">
        <v>7</v>
      </c>
      <c r="K162" s="176" t="s">
        <v>7</v>
      </c>
      <c r="L162" s="176" t="s">
        <v>7</v>
      </c>
      <c r="M162" s="176" t="s">
        <v>7</v>
      </c>
      <c r="N162" s="78">
        <f>O162+P162+Q162</f>
        <v>6</v>
      </c>
      <c r="O162" s="23">
        <v>2</v>
      </c>
      <c r="P162" s="23">
        <v>0</v>
      </c>
      <c r="Q162" s="23">
        <v>4</v>
      </c>
      <c r="T162" s="2"/>
      <c r="U162" s="12"/>
      <c r="V162" s="2"/>
      <c r="W162" s="2"/>
    </row>
    <row r="163" spans="2:23" x14ac:dyDescent="0.15">
      <c r="D163" s="191"/>
      <c r="E163" s="192"/>
      <c r="F163" s="183"/>
      <c r="G163" s="177"/>
      <c r="H163" s="177"/>
      <c r="I163" s="181"/>
      <c r="J163" s="183"/>
      <c r="K163" s="177"/>
      <c r="L163" s="177"/>
      <c r="M163" s="177"/>
      <c r="N163" s="43">
        <f t="shared" ref="N163:Q163" si="185">ROUND(N162/(N$144+N$148+N$146+N$158+N$150+N$152+N$154+N$156+N$160+N$160+N$162),3)</f>
        <v>8.0000000000000002E-3</v>
      </c>
      <c r="O163" s="41">
        <f t="shared" si="185"/>
        <v>0.03</v>
      </c>
      <c r="P163" s="41">
        <f t="shared" si="185"/>
        <v>0</v>
      </c>
      <c r="Q163" s="41">
        <f t="shared" si="185"/>
        <v>8.9999999999999993E-3</v>
      </c>
      <c r="R163" s="38"/>
      <c r="S163" s="38"/>
      <c r="T163" s="2"/>
      <c r="U163" s="12"/>
      <c r="V163" s="2"/>
      <c r="W163" s="2"/>
    </row>
    <row r="164" spans="2:23" x14ac:dyDescent="0.15">
      <c r="D164" s="187" t="s">
        <v>20</v>
      </c>
      <c r="E164" s="194"/>
      <c r="F164" s="79">
        <f>F144+F148+F146+F158+F150+F152+F154+F156+F160</f>
        <v>661</v>
      </c>
      <c r="G164" s="80">
        <f>G144+G148+G146+G158+G150+G152+G154+G156+G160</f>
        <v>60</v>
      </c>
      <c r="H164" s="80">
        <f>H144+H148+H146+H158+H150+H152+H154+H156+H160</f>
        <v>182</v>
      </c>
      <c r="I164" s="81">
        <f>I144+I148+I146+I158+I150+I152+I154+I156+I160</f>
        <v>419</v>
      </c>
      <c r="J164" s="79">
        <f>J144+J148+J146+J158+J150+J152+J154+J156+J160</f>
        <v>700</v>
      </c>
      <c r="K164" s="80">
        <f t="shared" ref="K164:M164" si="186">K144+K148+K146+K158+K150+K152+K154+K156+K160</f>
        <v>76</v>
      </c>
      <c r="L164" s="80">
        <f t="shared" si="186"/>
        <v>211</v>
      </c>
      <c r="M164" s="80">
        <f t="shared" si="186"/>
        <v>413</v>
      </c>
      <c r="N164" s="66">
        <f t="shared" ref="N164" si="187">N144+N148+N146+N158+N150+N152+N154+N156+N160+N162</f>
        <v>787</v>
      </c>
      <c r="O164" s="23">
        <f>O144+O148+O146+O158+O150+O152+O154+O156+O160+O162</f>
        <v>66</v>
      </c>
      <c r="P164" s="66">
        <f t="shared" ref="P164:Q164" si="188">P144+P148+P146+P158+P150+P152+P154+P156+P160+P162</f>
        <v>256</v>
      </c>
      <c r="Q164" s="59">
        <f t="shared" si="188"/>
        <v>465</v>
      </c>
      <c r="T164" s="2"/>
      <c r="U164" s="12"/>
      <c r="V164" s="2"/>
      <c r="W164" s="2"/>
    </row>
    <row r="165" spans="2:23" ht="14.25" thickBot="1" x14ac:dyDescent="0.2">
      <c r="D165" s="187"/>
      <c r="E165" s="194"/>
      <c r="F165" s="133">
        <f>F145+F149+F147+F159+F151+F153+F155+F157+F161</f>
        <v>0.99800000000000022</v>
      </c>
      <c r="G165" s="134">
        <f t="shared" ref="G165:I165" si="189">G145+G149+G147+G159+G151+G153+G155+G157+G161</f>
        <v>1</v>
      </c>
      <c r="H165" s="134">
        <f t="shared" si="189"/>
        <v>0.99399999999999999</v>
      </c>
      <c r="I165" s="135">
        <f t="shared" si="189"/>
        <v>0.99800000000000011</v>
      </c>
      <c r="J165" s="137">
        <f>J145+J149+J147+J159+J151+J153+J155+J157+J161</f>
        <v>1.0000000000000002</v>
      </c>
      <c r="K165" s="136">
        <f t="shared" ref="K165:M165" si="190">K145+K149+K147+K159+K151+K153+K155+K157+K161</f>
        <v>1</v>
      </c>
      <c r="L165" s="136">
        <f t="shared" si="190"/>
        <v>1</v>
      </c>
      <c r="M165" s="136">
        <f t="shared" si="190"/>
        <v>1</v>
      </c>
      <c r="N165" s="132">
        <f>N145+N149+N147+N159+N151+N153+N155+N157+N161+N163</f>
        <v>1</v>
      </c>
      <c r="O165" s="136">
        <f t="shared" ref="O165:Q165" si="191">O145+O149+O147+O159+O151+O153+O155+O157+O161+O163</f>
        <v>1</v>
      </c>
      <c r="P165" s="132">
        <f>P145+P149+P147+P159+P151+P153+P155+P157+P161+P163</f>
        <v>1</v>
      </c>
      <c r="Q165" s="136">
        <f t="shared" si="191"/>
        <v>1</v>
      </c>
      <c r="R165" s="50"/>
      <c r="S165" s="50"/>
      <c r="T165" s="34"/>
      <c r="U165" s="35"/>
      <c r="V165" s="34"/>
      <c r="W165" s="2"/>
    </row>
    <row r="166" spans="2:23" x14ac:dyDescent="0.15">
      <c r="D166" s="82"/>
      <c r="E166" s="129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0"/>
      <c r="S166" s="50"/>
      <c r="T166" s="34"/>
      <c r="U166" s="35"/>
      <c r="V166" s="34"/>
      <c r="W166" s="2"/>
    </row>
    <row r="167" spans="2:23" x14ac:dyDescent="0.15">
      <c r="D167" s="82"/>
      <c r="E167" s="129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0"/>
      <c r="S167" s="50"/>
      <c r="T167" s="34"/>
      <c r="U167" s="35"/>
      <c r="V167" s="34"/>
      <c r="W167" s="2"/>
    </row>
    <row r="168" spans="2:23" ht="14.25" thickBot="1" x14ac:dyDescent="0.2">
      <c r="B168" s="3" t="s">
        <v>73</v>
      </c>
      <c r="G168" s="10"/>
      <c r="K168" s="5"/>
      <c r="O168" s="5"/>
    </row>
    <row r="169" spans="2:23" x14ac:dyDescent="0.15">
      <c r="D169" s="70"/>
      <c r="E169" s="71"/>
      <c r="F169" s="184" t="s">
        <v>265</v>
      </c>
      <c r="G169" s="185"/>
      <c r="H169" s="185"/>
      <c r="I169" s="186"/>
      <c r="J169" s="182" t="s">
        <v>60</v>
      </c>
      <c r="K169" s="187"/>
      <c r="L169" s="187"/>
      <c r="M169" s="187"/>
      <c r="N169" s="197" t="s">
        <v>9</v>
      </c>
      <c r="O169" s="197"/>
      <c r="P169" s="197"/>
      <c r="Q169" s="198"/>
      <c r="R169" s="11"/>
      <c r="S169" s="11"/>
      <c r="T169" s="2"/>
      <c r="U169" s="12"/>
      <c r="V169" s="2"/>
      <c r="W169" s="2"/>
    </row>
    <row r="170" spans="2:23" x14ac:dyDescent="0.15">
      <c r="D170" s="72"/>
      <c r="E170" s="126"/>
      <c r="F170" s="124"/>
      <c r="G170" s="128" t="s">
        <v>11</v>
      </c>
      <c r="H170" s="128" t="s">
        <v>12</v>
      </c>
      <c r="I170" s="39" t="s">
        <v>13</v>
      </c>
      <c r="J170" s="124"/>
      <c r="K170" s="128" t="s">
        <v>11</v>
      </c>
      <c r="L170" s="128" t="s">
        <v>12</v>
      </c>
      <c r="M170" s="128" t="s">
        <v>13</v>
      </c>
      <c r="N170" s="15"/>
      <c r="O170" s="122" t="s">
        <v>11</v>
      </c>
      <c r="P170" s="122" t="s">
        <v>12</v>
      </c>
      <c r="Q170" s="122" t="s">
        <v>13</v>
      </c>
      <c r="R170" s="16"/>
      <c r="S170" s="16"/>
      <c r="T170" s="2"/>
      <c r="U170" s="12"/>
      <c r="V170" s="2"/>
      <c r="W170" s="2"/>
    </row>
    <row r="171" spans="2:23" x14ac:dyDescent="0.15">
      <c r="D171" s="188" t="s">
        <v>43</v>
      </c>
      <c r="E171" s="189"/>
      <c r="F171" s="22">
        <f>G171+H171+I171</f>
        <v>64</v>
      </c>
      <c r="G171" s="23">
        <v>15</v>
      </c>
      <c r="H171" s="23">
        <v>0</v>
      </c>
      <c r="I171" s="24">
        <v>49</v>
      </c>
      <c r="J171" s="22">
        <f>K171+L171+M171</f>
        <v>82</v>
      </c>
      <c r="K171" s="23">
        <v>13</v>
      </c>
      <c r="L171" s="23">
        <v>0</v>
      </c>
      <c r="M171" s="23">
        <v>69</v>
      </c>
      <c r="N171" s="25">
        <f>O171+P171+Q171</f>
        <v>77</v>
      </c>
      <c r="O171" s="23">
        <v>18</v>
      </c>
      <c r="P171" s="23">
        <v>0</v>
      </c>
      <c r="Q171" s="23">
        <v>59</v>
      </c>
      <c r="T171" s="2"/>
      <c r="U171" s="12"/>
      <c r="V171" s="2"/>
      <c r="W171" s="2"/>
    </row>
    <row r="172" spans="2:23" x14ac:dyDescent="0.15">
      <c r="D172" s="191"/>
      <c r="E172" s="192"/>
      <c r="F172" s="40">
        <f>ROUND(F171/(F$171+F$173+F$175+F$177+F$179+F$181),3)</f>
        <v>9.6000000000000002E-2</v>
      </c>
      <c r="G172" s="41">
        <f t="shared" ref="G172:I172" si="192">ROUND(G171/(G$171+G$173+G$175+G$177+G$179+G$181),3)</f>
        <v>0.25</v>
      </c>
      <c r="H172" s="41">
        <f t="shared" si="192"/>
        <v>0</v>
      </c>
      <c r="I172" s="42">
        <f t="shared" si="192"/>
        <v>0.11700000000000001</v>
      </c>
      <c r="J172" s="40">
        <f>ROUND(J171/(J$171+J$173+J$175+J$177+J$179+J$181),3)</f>
        <v>0.11700000000000001</v>
      </c>
      <c r="K172" s="41">
        <f t="shared" ref="K172:M172" si="193">ROUND(K171/(K$171+K$173+K$175+K$177+K$179+K$181),3)</f>
        <v>0.17299999999999999</v>
      </c>
      <c r="L172" s="41">
        <f t="shared" si="193"/>
        <v>0</v>
      </c>
      <c r="M172" s="41">
        <f t="shared" si="193"/>
        <v>0.16700000000000001</v>
      </c>
      <c r="N172" s="43">
        <f>ROUND(N171/(N$171+N$173+N$175+N$177+N$179+N$181+N$183),3)</f>
        <v>9.8000000000000004E-2</v>
      </c>
      <c r="O172" s="41">
        <f t="shared" ref="O172:Q172" si="194">ROUND(O171/(O$171+O$173+O$175+O$177+O$179+O$181+O$183),3)</f>
        <v>0.27300000000000002</v>
      </c>
      <c r="P172" s="41">
        <f t="shared" si="194"/>
        <v>0</v>
      </c>
      <c r="Q172" s="41">
        <f t="shared" si="194"/>
        <v>0.127</v>
      </c>
      <c r="R172" s="38"/>
      <c r="S172" s="38"/>
      <c r="T172" s="2"/>
      <c r="U172" s="12"/>
      <c r="V172" s="2"/>
      <c r="W172" s="2"/>
    </row>
    <row r="173" spans="2:23" x14ac:dyDescent="0.15">
      <c r="D173" s="188" t="s">
        <v>44</v>
      </c>
      <c r="E173" s="189"/>
      <c r="F173" s="22">
        <f>G173+H173+I173</f>
        <v>207</v>
      </c>
      <c r="G173" s="23">
        <v>9</v>
      </c>
      <c r="H173" s="23">
        <v>74</v>
      </c>
      <c r="I173" s="24">
        <v>124</v>
      </c>
      <c r="J173" s="22">
        <f>K173+L173+M173</f>
        <v>240</v>
      </c>
      <c r="K173" s="23">
        <v>23</v>
      </c>
      <c r="L173" s="23">
        <v>103</v>
      </c>
      <c r="M173" s="23">
        <v>114</v>
      </c>
      <c r="N173" s="25">
        <f>O173+P173+Q173</f>
        <v>293</v>
      </c>
      <c r="O173" s="23">
        <v>16</v>
      </c>
      <c r="P173" s="23">
        <v>135</v>
      </c>
      <c r="Q173" s="23">
        <v>142</v>
      </c>
      <c r="T173" s="2"/>
      <c r="U173" s="12"/>
      <c r="V173" s="2"/>
      <c r="W173" s="2"/>
    </row>
    <row r="174" spans="2:23" x14ac:dyDescent="0.15">
      <c r="D174" s="191"/>
      <c r="E174" s="192"/>
      <c r="F174" s="40">
        <f>ROUND(F173/(F$171+F$173+F$175+F$177+F$179+F$181),3)</f>
        <v>0.312</v>
      </c>
      <c r="G174" s="41">
        <f t="shared" ref="G174:I174" si="195">ROUND(G173/(G$171+G$173+G$175+G$177+G$179+G$181),3)</f>
        <v>0.15</v>
      </c>
      <c r="H174" s="41">
        <f t="shared" si="195"/>
        <v>0.40200000000000002</v>
      </c>
      <c r="I174" s="42">
        <f t="shared" si="195"/>
        <v>0.29499999999999998</v>
      </c>
      <c r="J174" s="40">
        <f>ROUND(J173/(J$171+J$173+J$175+J$177+J$179+J$181),3)</f>
        <v>0.34200000000000003</v>
      </c>
      <c r="K174" s="41">
        <f t="shared" ref="K174:M174" si="196">ROUND(K173/(K$171+K$173+K$175+K$177+K$179+K$181),3)</f>
        <v>0.307</v>
      </c>
      <c r="L174" s="41">
        <f t="shared" si="196"/>
        <v>0.48099999999999998</v>
      </c>
      <c r="M174" s="41">
        <f t="shared" si="196"/>
        <v>0.27600000000000002</v>
      </c>
      <c r="N174" s="43">
        <f t="shared" ref="N174" si="197">ROUND(N173/(N$171+N$173+N$175+N$177+N$179+N$181+N$183),3)</f>
        <v>0.372</v>
      </c>
      <c r="O174" s="41">
        <f>ROUND(O173/(O$171+O$173+O$175+O$177+O$179+O$181+O$183),3)+0.001</f>
        <v>0.24299999999999999</v>
      </c>
      <c r="P174" s="41">
        <f t="shared" ref="P174" si="198">ROUND(P173/(P$171+P$173+P$175+P$177+P$179+P$181+P$183),3)</f>
        <v>0.52700000000000002</v>
      </c>
      <c r="Q174" s="41">
        <f>ROUND(Q173/(Q$171+Q$173+Q$175+Q$177+Q$179+Q$181+Q$183),3)+0.001</f>
        <v>0.30599999999999999</v>
      </c>
      <c r="R174" s="38"/>
      <c r="S174" s="38"/>
      <c r="T174" s="2"/>
      <c r="U174" s="12"/>
      <c r="V174" s="2"/>
      <c r="W174" s="2"/>
    </row>
    <row r="175" spans="2:23" x14ac:dyDescent="0.15">
      <c r="D175" s="188" t="s">
        <v>45</v>
      </c>
      <c r="E175" s="189"/>
      <c r="F175" s="22">
        <f>G175+H175+I175</f>
        <v>177</v>
      </c>
      <c r="G175" s="23">
        <v>13</v>
      </c>
      <c r="H175" s="23">
        <v>110</v>
      </c>
      <c r="I175" s="24">
        <v>54</v>
      </c>
      <c r="J175" s="22">
        <f>K175+L175+M175</f>
        <v>187</v>
      </c>
      <c r="K175" s="23">
        <v>13</v>
      </c>
      <c r="L175" s="23">
        <v>111</v>
      </c>
      <c r="M175" s="23">
        <v>63</v>
      </c>
      <c r="N175" s="25">
        <f>O175+P175+Q175</f>
        <v>218</v>
      </c>
      <c r="O175" s="23">
        <v>9</v>
      </c>
      <c r="P175" s="23">
        <v>121</v>
      </c>
      <c r="Q175" s="23">
        <v>88</v>
      </c>
      <c r="T175" s="2"/>
      <c r="U175" s="12"/>
      <c r="V175" s="2"/>
      <c r="W175" s="2"/>
    </row>
    <row r="176" spans="2:23" x14ac:dyDescent="0.15">
      <c r="D176" s="191"/>
      <c r="E176" s="192"/>
      <c r="F176" s="40">
        <f>ROUND(F175/(F$171+F$173+F$175+F$177+F$179+F$181),3)</f>
        <v>0.26700000000000002</v>
      </c>
      <c r="G176" s="41">
        <f t="shared" ref="G176:I176" si="199">ROUND(G175/(G$171+G$173+G$175+G$177+G$179+G$181),3)</f>
        <v>0.217</v>
      </c>
      <c r="H176" s="41">
        <f t="shared" si="199"/>
        <v>0.59799999999999998</v>
      </c>
      <c r="I176" s="42">
        <f t="shared" si="199"/>
        <v>0.129</v>
      </c>
      <c r="J176" s="40">
        <f>ROUND(J175/(J$171+J$173+J$175+J$177+J$179+J$181),3)</f>
        <v>0.26600000000000001</v>
      </c>
      <c r="K176" s="41">
        <f t="shared" ref="K176:M176" si="200">ROUND(K175/(K$171+K$173+K$175+K$177+K$179+K$181),3)</f>
        <v>0.17299999999999999</v>
      </c>
      <c r="L176" s="41">
        <f t="shared" si="200"/>
        <v>0.51900000000000002</v>
      </c>
      <c r="M176" s="41">
        <f t="shared" si="200"/>
        <v>0.153</v>
      </c>
      <c r="N176" s="43">
        <f t="shared" ref="N176:Q176" si="201">ROUND(N175/(N$171+N$173+N$175+N$177+N$179+N$181+N$183),3)</f>
        <v>0.27700000000000002</v>
      </c>
      <c r="O176" s="41">
        <f t="shared" si="201"/>
        <v>0.13600000000000001</v>
      </c>
      <c r="P176" s="41">
        <f t="shared" si="201"/>
        <v>0.47299999999999998</v>
      </c>
      <c r="Q176" s="41">
        <f t="shared" si="201"/>
        <v>0.189</v>
      </c>
      <c r="R176" s="38"/>
      <c r="S176" s="38"/>
      <c r="T176" s="2"/>
      <c r="U176" s="12"/>
      <c r="V176" s="2"/>
      <c r="W176" s="2"/>
    </row>
    <row r="177" spans="2:40" x14ac:dyDescent="0.15">
      <c r="D177" s="188" t="s">
        <v>46</v>
      </c>
      <c r="E177" s="189"/>
      <c r="F177" s="22">
        <f>G177+H177+I177</f>
        <v>82</v>
      </c>
      <c r="G177" s="23">
        <v>2</v>
      </c>
      <c r="H177" s="23">
        <v>0</v>
      </c>
      <c r="I177" s="24">
        <v>80</v>
      </c>
      <c r="J177" s="22">
        <f>K177+L177+M177</f>
        <v>68</v>
      </c>
      <c r="K177" s="23">
        <v>4</v>
      </c>
      <c r="L177" s="23">
        <v>0</v>
      </c>
      <c r="M177" s="23">
        <v>64</v>
      </c>
      <c r="N177" s="25">
        <f>O177+P177+Q177</f>
        <v>57</v>
      </c>
      <c r="O177" s="23">
        <v>2</v>
      </c>
      <c r="P177" s="23">
        <v>0</v>
      </c>
      <c r="Q177" s="23">
        <v>55</v>
      </c>
      <c r="T177" s="2"/>
      <c r="U177" s="12"/>
      <c r="V177" s="2"/>
      <c r="W177" s="2"/>
    </row>
    <row r="178" spans="2:40" x14ac:dyDescent="0.15">
      <c r="D178" s="191"/>
      <c r="E178" s="192"/>
      <c r="F178" s="40">
        <f>ROUND(F177/(F$171+F$173+F$175+F$177+F$179+F$181),3)</f>
        <v>0.123</v>
      </c>
      <c r="G178" s="41">
        <f t="shared" ref="G178:I178" si="202">ROUND(G177/(G$171+G$173+G$175+G$177+G$179+G$181),3)</f>
        <v>3.3000000000000002E-2</v>
      </c>
      <c r="H178" s="41">
        <f t="shared" si="202"/>
        <v>0</v>
      </c>
      <c r="I178" s="42">
        <f t="shared" si="202"/>
        <v>0.19</v>
      </c>
      <c r="J178" s="40">
        <f>ROUND(J177/(J$171+J$173+J$175+J$177+J$179+J$181),3)</f>
        <v>9.7000000000000003E-2</v>
      </c>
      <c r="K178" s="41">
        <f t="shared" ref="K178:M178" si="203">ROUND(K177/(K$171+K$173+K$175+K$177+K$179+K$181),3)</f>
        <v>5.2999999999999999E-2</v>
      </c>
      <c r="L178" s="41">
        <f t="shared" si="203"/>
        <v>0</v>
      </c>
      <c r="M178" s="41">
        <f t="shared" si="203"/>
        <v>0.155</v>
      </c>
      <c r="N178" s="43">
        <f t="shared" ref="N178:Q178" si="204">ROUND(N177/(N$171+N$173+N$175+N$177+N$179+N$181+N$183),3)</f>
        <v>7.1999999999999995E-2</v>
      </c>
      <c r="O178" s="41">
        <f t="shared" si="204"/>
        <v>0.03</v>
      </c>
      <c r="P178" s="41">
        <f t="shared" si="204"/>
        <v>0</v>
      </c>
      <c r="Q178" s="41">
        <f t="shared" si="204"/>
        <v>0.11799999999999999</v>
      </c>
      <c r="R178" s="38"/>
      <c r="S178" s="38"/>
      <c r="T178" s="2"/>
      <c r="U178" s="12"/>
      <c r="V178" s="2"/>
      <c r="W178" s="2"/>
    </row>
    <row r="179" spans="2:40" x14ac:dyDescent="0.15">
      <c r="D179" s="188" t="s">
        <v>47</v>
      </c>
      <c r="E179" s="189"/>
      <c r="F179" s="22">
        <f>G179+H179+I179</f>
        <v>89</v>
      </c>
      <c r="G179" s="23">
        <v>15</v>
      </c>
      <c r="H179" s="23">
        <v>0</v>
      </c>
      <c r="I179" s="24">
        <v>74</v>
      </c>
      <c r="J179" s="22">
        <f>K179+L179+M179</f>
        <v>84</v>
      </c>
      <c r="K179" s="23">
        <v>12</v>
      </c>
      <c r="L179" s="23">
        <v>0</v>
      </c>
      <c r="M179" s="23">
        <v>72</v>
      </c>
      <c r="N179" s="25">
        <f>O179+P179+Q179</f>
        <v>97</v>
      </c>
      <c r="O179" s="23">
        <v>10</v>
      </c>
      <c r="P179" s="23">
        <v>0</v>
      </c>
      <c r="Q179" s="23">
        <v>87</v>
      </c>
      <c r="T179" s="2"/>
      <c r="U179" s="12"/>
      <c r="V179" s="2"/>
      <c r="W179" s="2"/>
    </row>
    <row r="180" spans="2:40" x14ac:dyDescent="0.15">
      <c r="D180" s="191"/>
      <c r="E180" s="192"/>
      <c r="F180" s="40">
        <f>ROUND(F179/(F$171+F$173+F$175+F$177+F$179+F$181),3)</f>
        <v>0.13400000000000001</v>
      </c>
      <c r="G180" s="41">
        <f t="shared" ref="G180:I180" si="205">ROUND(G179/(G$171+G$173+G$175+G$177+G$179+G$181),3)</f>
        <v>0.25</v>
      </c>
      <c r="H180" s="41">
        <f t="shared" si="205"/>
        <v>0</v>
      </c>
      <c r="I180" s="42">
        <f t="shared" si="205"/>
        <v>0.17599999999999999</v>
      </c>
      <c r="J180" s="40">
        <f>ROUND(J179/(J$171+J$173+J$175+J$177+J$179+J$181),3)</f>
        <v>0.12</v>
      </c>
      <c r="K180" s="41">
        <f t="shared" ref="K180:M180" si="206">ROUND(K179/(K$171+K$173+K$175+K$177+K$179+K$181),3)</f>
        <v>0.16</v>
      </c>
      <c r="L180" s="41">
        <f t="shared" si="206"/>
        <v>0</v>
      </c>
      <c r="M180" s="41">
        <f t="shared" si="206"/>
        <v>0.17399999999999999</v>
      </c>
      <c r="N180" s="43">
        <f t="shared" ref="N180:Q180" si="207">ROUND(N179/(N$171+N$173+N$175+N$177+N$179+N$181+N$183),3)</f>
        <v>0.123</v>
      </c>
      <c r="O180" s="41">
        <f t="shared" si="207"/>
        <v>0.152</v>
      </c>
      <c r="P180" s="41">
        <f t="shared" si="207"/>
        <v>0</v>
      </c>
      <c r="Q180" s="41">
        <f t="shared" si="207"/>
        <v>0.187</v>
      </c>
      <c r="R180" s="38"/>
      <c r="S180" s="38"/>
      <c r="T180" s="2"/>
      <c r="U180" s="12"/>
      <c r="V180" s="2"/>
      <c r="W180" s="2"/>
    </row>
    <row r="181" spans="2:40" x14ac:dyDescent="0.15">
      <c r="D181" s="188" t="s">
        <v>48</v>
      </c>
      <c r="E181" s="189"/>
      <c r="F181" s="22">
        <f>G181+H181+I181</f>
        <v>45</v>
      </c>
      <c r="G181" s="23">
        <v>6</v>
      </c>
      <c r="H181" s="23">
        <v>0</v>
      </c>
      <c r="I181" s="24">
        <v>39</v>
      </c>
      <c r="J181" s="22">
        <f>K181+L181+M181</f>
        <v>41</v>
      </c>
      <c r="K181" s="23">
        <v>10</v>
      </c>
      <c r="L181" s="23">
        <v>0</v>
      </c>
      <c r="M181" s="23">
        <v>31</v>
      </c>
      <c r="N181" s="25">
        <f>O181+P181+Q181</f>
        <v>43</v>
      </c>
      <c r="O181" s="23">
        <v>9</v>
      </c>
      <c r="P181" s="23">
        <v>0</v>
      </c>
      <c r="Q181" s="23">
        <v>34</v>
      </c>
      <c r="T181" s="2"/>
      <c r="U181" s="12"/>
      <c r="V181" s="2"/>
      <c r="W181" s="2"/>
    </row>
    <row r="182" spans="2:40" x14ac:dyDescent="0.15">
      <c r="D182" s="191"/>
      <c r="E182" s="192"/>
      <c r="F182" s="40">
        <f>ROUND(F181/(F$171+F$173+F$175+F$177+F$179+F$181),3)</f>
        <v>6.8000000000000005E-2</v>
      </c>
      <c r="G182" s="41">
        <f t="shared" ref="G182:I182" si="208">ROUND(G181/(G$171+G$173+G$175+G$177+G$179+G$181),3)</f>
        <v>0.1</v>
      </c>
      <c r="H182" s="41">
        <f t="shared" si="208"/>
        <v>0</v>
      </c>
      <c r="I182" s="42">
        <f t="shared" si="208"/>
        <v>9.2999999999999999E-2</v>
      </c>
      <c r="J182" s="40">
        <f>ROUND(J181/(J$171+J$173+J$175+J$177+J$179+J$181),3)</f>
        <v>5.8000000000000003E-2</v>
      </c>
      <c r="K182" s="41">
        <f>ROUND(K181/(K$171+K$173+K$175+K$177+K$179+K$181),3)+0.001</f>
        <v>0.13400000000000001</v>
      </c>
      <c r="L182" s="41">
        <f t="shared" ref="L182:M182" si="209">ROUND(L181/(L$171+L$173+L$175+L$177+L$179+L$181),3)</f>
        <v>0</v>
      </c>
      <c r="M182" s="41">
        <f t="shared" si="209"/>
        <v>7.4999999999999997E-2</v>
      </c>
      <c r="N182" s="43">
        <f t="shared" ref="N182:Q182" si="210">ROUND(N181/(N$171+N$173+N$175+N$177+N$179+N$181+N$183),3)</f>
        <v>5.5E-2</v>
      </c>
      <c r="O182" s="41">
        <f t="shared" si="210"/>
        <v>0.13600000000000001</v>
      </c>
      <c r="P182" s="41">
        <f t="shared" si="210"/>
        <v>0</v>
      </c>
      <c r="Q182" s="41">
        <f t="shared" si="210"/>
        <v>7.2999999999999995E-2</v>
      </c>
      <c r="R182" s="38"/>
      <c r="S182" s="38"/>
      <c r="T182" s="2"/>
      <c r="U182" s="12"/>
      <c r="V182" s="2"/>
      <c r="W182" s="2"/>
    </row>
    <row r="183" spans="2:40" x14ac:dyDescent="0.15">
      <c r="D183" s="188" t="s">
        <v>19</v>
      </c>
      <c r="E183" s="189"/>
      <c r="F183" s="182" t="s">
        <v>7</v>
      </c>
      <c r="G183" s="176" t="s">
        <v>7</v>
      </c>
      <c r="H183" s="176" t="s">
        <v>7</v>
      </c>
      <c r="I183" s="180" t="s">
        <v>7</v>
      </c>
      <c r="J183" s="182" t="s">
        <v>7</v>
      </c>
      <c r="K183" s="176" t="s">
        <v>7</v>
      </c>
      <c r="L183" s="176" t="s">
        <v>7</v>
      </c>
      <c r="M183" s="176" t="s">
        <v>7</v>
      </c>
      <c r="N183" s="25">
        <f>O183+P183+Q183</f>
        <v>2</v>
      </c>
      <c r="O183" s="23">
        <v>2</v>
      </c>
      <c r="P183" s="23">
        <v>0</v>
      </c>
      <c r="Q183" s="23">
        <v>0</v>
      </c>
      <c r="T183" s="2"/>
      <c r="U183" s="12"/>
      <c r="V183" s="2"/>
      <c r="W183" s="2"/>
    </row>
    <row r="184" spans="2:40" x14ac:dyDescent="0.15">
      <c r="D184" s="191"/>
      <c r="E184" s="192"/>
      <c r="F184" s="183"/>
      <c r="G184" s="177"/>
      <c r="H184" s="177"/>
      <c r="I184" s="181"/>
      <c r="J184" s="183"/>
      <c r="K184" s="177"/>
      <c r="L184" s="177"/>
      <c r="M184" s="177"/>
      <c r="N184" s="43">
        <f t="shared" ref="N184:Q184" si="211">ROUND(N183/(N$171+N$173+N$175+N$177+N$179+N$181+N$183),3)</f>
        <v>3.0000000000000001E-3</v>
      </c>
      <c r="O184" s="41">
        <f t="shared" si="211"/>
        <v>0.03</v>
      </c>
      <c r="P184" s="41">
        <f t="shared" si="211"/>
        <v>0</v>
      </c>
      <c r="Q184" s="41">
        <f t="shared" si="211"/>
        <v>0</v>
      </c>
      <c r="R184" s="38"/>
      <c r="S184" s="38"/>
      <c r="T184" s="2"/>
      <c r="U184" s="12"/>
      <c r="V184" s="2"/>
      <c r="W184" s="2"/>
    </row>
    <row r="185" spans="2:40" x14ac:dyDescent="0.15">
      <c r="D185" s="187" t="s">
        <v>20</v>
      </c>
      <c r="E185" s="194"/>
      <c r="F185" s="22">
        <f>F171+F173+F175+F177+F179+F181</f>
        <v>664</v>
      </c>
      <c r="G185" s="23">
        <f t="shared" ref="G185:I185" si="212">G171+G173+G175+G177+G179+G181</f>
        <v>60</v>
      </c>
      <c r="H185" s="23">
        <f t="shared" si="212"/>
        <v>184</v>
      </c>
      <c r="I185" s="24">
        <f t="shared" si="212"/>
        <v>420</v>
      </c>
      <c r="J185" s="22">
        <f>J171+J173+J175+J177+J179+J181</f>
        <v>702</v>
      </c>
      <c r="K185" s="23">
        <f t="shared" ref="K185:M185" si="213">K171+K173+K175+K177+K179+K181</f>
        <v>75</v>
      </c>
      <c r="L185" s="23">
        <f t="shared" si="213"/>
        <v>214</v>
      </c>
      <c r="M185" s="23">
        <f t="shared" si="213"/>
        <v>413</v>
      </c>
      <c r="N185" s="66">
        <f t="shared" ref="N185:Q185" si="214">N171+N173+N175+N177+N179+N181+N183</f>
        <v>787</v>
      </c>
      <c r="O185" s="59">
        <f t="shared" si="214"/>
        <v>66</v>
      </c>
      <c r="P185" s="66">
        <f t="shared" si="214"/>
        <v>256</v>
      </c>
      <c r="Q185" s="59">
        <f t="shared" si="214"/>
        <v>465</v>
      </c>
      <c r="T185" s="2"/>
      <c r="U185" s="12"/>
      <c r="V185" s="2"/>
      <c r="W185" s="2"/>
    </row>
    <row r="186" spans="2:40" ht="14.25" thickBot="1" x14ac:dyDescent="0.2">
      <c r="D186" s="187"/>
      <c r="E186" s="194"/>
      <c r="F186" s="133">
        <f>F172+F174+F176+F178+F180+F182</f>
        <v>1</v>
      </c>
      <c r="G186" s="134">
        <f t="shared" ref="G186:I186" si="215">G172+G174+G176+G178+G180+G182</f>
        <v>1</v>
      </c>
      <c r="H186" s="134">
        <f t="shared" si="215"/>
        <v>1</v>
      </c>
      <c r="I186" s="135">
        <f t="shared" si="215"/>
        <v>0.99999999999999978</v>
      </c>
      <c r="J186" s="137">
        <f>J172+J174+J176+J178+J180+J182</f>
        <v>1</v>
      </c>
      <c r="K186" s="136">
        <f t="shared" ref="K186:M186" si="216">K172+K174+K176+K178+K180+K182</f>
        <v>1</v>
      </c>
      <c r="L186" s="136">
        <f t="shared" si="216"/>
        <v>1</v>
      </c>
      <c r="M186" s="136">
        <f t="shared" si="216"/>
        <v>1</v>
      </c>
      <c r="N186" s="132">
        <f t="shared" ref="N186:Q186" si="217">N172+N174+N176+N178+N180+N182+N184</f>
        <v>1</v>
      </c>
      <c r="O186" s="136">
        <f t="shared" si="217"/>
        <v>1</v>
      </c>
      <c r="P186" s="132">
        <f t="shared" si="217"/>
        <v>1</v>
      </c>
      <c r="Q186" s="136">
        <f t="shared" si="217"/>
        <v>1</v>
      </c>
      <c r="R186" s="50"/>
      <c r="S186" s="50"/>
      <c r="T186" s="34"/>
      <c r="U186" s="35"/>
      <c r="V186" s="34"/>
      <c r="W186" s="2"/>
    </row>
    <row r="187" spans="2:40" x14ac:dyDescent="0.15">
      <c r="F187" s="50"/>
      <c r="G187" s="50"/>
      <c r="H187" s="50"/>
      <c r="I187" s="50"/>
      <c r="J187" s="50"/>
      <c r="K187" s="69"/>
      <c r="L187" s="50"/>
      <c r="N187" s="50"/>
      <c r="O187" s="69"/>
      <c r="P187" s="50"/>
    </row>
    <row r="188" spans="2:40" x14ac:dyDescent="0.15">
      <c r="F188" s="50"/>
      <c r="G188" s="50"/>
      <c r="H188" s="50"/>
      <c r="I188" s="50"/>
      <c r="J188" s="50"/>
      <c r="K188" s="69"/>
      <c r="L188" s="50"/>
      <c r="N188" s="50"/>
      <c r="O188" s="69"/>
      <c r="P188" s="50"/>
    </row>
    <row r="189" spans="2:40" ht="14.25" thickBot="1" x14ac:dyDescent="0.2">
      <c r="B189" s="3" t="s">
        <v>75</v>
      </c>
      <c r="F189" s="83"/>
      <c r="K189" s="5"/>
      <c r="O189" s="5"/>
    </row>
    <row r="190" spans="2:40" x14ac:dyDescent="0.15">
      <c r="D190" s="70"/>
      <c r="E190" s="71"/>
      <c r="F190" s="184" t="s">
        <v>265</v>
      </c>
      <c r="G190" s="185"/>
      <c r="H190" s="185"/>
      <c r="I190" s="186"/>
      <c r="J190" s="182" t="s">
        <v>60</v>
      </c>
      <c r="K190" s="187"/>
      <c r="L190" s="187"/>
      <c r="M190" s="187"/>
      <c r="N190" s="1"/>
      <c r="O190" s="1"/>
      <c r="P190" s="1"/>
      <c r="Q190" s="1"/>
      <c r="R190" s="1"/>
      <c r="S190" s="1"/>
      <c r="AF190" s="7"/>
      <c r="AN190" s="1"/>
    </row>
    <row r="191" spans="2:40" x14ac:dyDescent="0.15">
      <c r="D191" s="72"/>
      <c r="E191" s="126"/>
      <c r="F191" s="124"/>
      <c r="G191" s="128" t="s">
        <v>11</v>
      </c>
      <c r="H191" s="128" t="s">
        <v>12</v>
      </c>
      <c r="I191" s="39" t="s">
        <v>13</v>
      </c>
      <c r="J191" s="124"/>
      <c r="K191" s="128" t="s">
        <v>11</v>
      </c>
      <c r="L191" s="128" t="s">
        <v>12</v>
      </c>
      <c r="M191" s="128" t="s">
        <v>13</v>
      </c>
      <c r="N191" s="1"/>
      <c r="O191" s="1"/>
      <c r="P191" s="1"/>
      <c r="Q191" s="1"/>
      <c r="R191" s="1"/>
      <c r="S191" s="1"/>
      <c r="AF191" s="7"/>
      <c r="AN191" s="1"/>
    </row>
    <row r="192" spans="2:40" x14ac:dyDescent="0.15">
      <c r="D192" s="209" t="s">
        <v>242</v>
      </c>
      <c r="E192" s="189"/>
      <c r="F192" s="22">
        <f>G192+H192+I192</f>
        <v>610</v>
      </c>
      <c r="G192" s="23">
        <v>43</v>
      </c>
      <c r="H192" s="23">
        <v>174</v>
      </c>
      <c r="I192" s="24">
        <v>393</v>
      </c>
      <c r="J192" s="22">
        <f>K192+L192+M192</f>
        <v>629</v>
      </c>
      <c r="K192" s="23">
        <v>54</v>
      </c>
      <c r="L192" s="23">
        <v>197</v>
      </c>
      <c r="M192" s="23">
        <v>378</v>
      </c>
      <c r="N192" s="1"/>
      <c r="O192" s="1"/>
      <c r="P192" s="1"/>
      <c r="Q192" s="1"/>
      <c r="R192" s="1"/>
      <c r="S192" s="1"/>
      <c r="AF192" s="7"/>
      <c r="AN192" s="1"/>
    </row>
    <row r="193" spans="2:40" x14ac:dyDescent="0.15">
      <c r="D193" s="191"/>
      <c r="E193" s="192"/>
      <c r="F193" s="40">
        <f>ROUND(F192/(F$192+F$194+F$196),3)</f>
        <v>0.91300000000000003</v>
      </c>
      <c r="G193" s="41">
        <f t="shared" ref="G193:I193" si="218">ROUND(G192/(G$192+G$194+G$196),3)</f>
        <v>0.69399999999999995</v>
      </c>
      <c r="H193" s="41">
        <f t="shared" si="218"/>
        <v>0.95099999999999996</v>
      </c>
      <c r="I193" s="42">
        <f t="shared" si="218"/>
        <v>0.92900000000000005</v>
      </c>
      <c r="J193" s="40">
        <f>ROUND(J192/(J$192+J$194+J$196),3)</f>
        <v>0.89200000000000002</v>
      </c>
      <c r="K193" s="41">
        <f t="shared" ref="K193:M193" si="219">ROUND(K192/(K$192+K$194+K$196),3)</f>
        <v>0.71099999999999997</v>
      </c>
      <c r="L193" s="41">
        <f t="shared" si="219"/>
        <v>0.91600000000000004</v>
      </c>
      <c r="M193" s="41">
        <f t="shared" si="219"/>
        <v>0.91300000000000003</v>
      </c>
      <c r="N193" s="1"/>
      <c r="O193" s="1"/>
      <c r="P193" s="1"/>
      <c r="Q193" s="1"/>
      <c r="R193" s="1"/>
      <c r="S193" s="1"/>
      <c r="AF193" s="7"/>
      <c r="AN193" s="1"/>
    </row>
    <row r="194" spans="2:40" x14ac:dyDescent="0.15">
      <c r="D194" s="209" t="s">
        <v>243</v>
      </c>
      <c r="E194" s="189"/>
      <c r="F194" s="22">
        <f>G194+H194+I194</f>
        <v>24</v>
      </c>
      <c r="G194" s="23">
        <v>3</v>
      </c>
      <c r="H194" s="23">
        <v>6</v>
      </c>
      <c r="I194" s="24">
        <v>15</v>
      </c>
      <c r="J194" s="22">
        <f>K194+L194+M194</f>
        <v>25</v>
      </c>
      <c r="K194" s="23">
        <v>0</v>
      </c>
      <c r="L194" s="23">
        <v>13</v>
      </c>
      <c r="M194" s="23">
        <v>12</v>
      </c>
      <c r="N194" s="1"/>
      <c r="O194" s="1"/>
      <c r="P194" s="1"/>
      <c r="Q194" s="1"/>
      <c r="R194" s="1"/>
      <c r="S194" s="1"/>
      <c r="AF194" s="7"/>
      <c r="AN194" s="1"/>
    </row>
    <row r="195" spans="2:40" x14ac:dyDescent="0.15">
      <c r="D195" s="191"/>
      <c r="E195" s="192"/>
      <c r="F195" s="40">
        <f>ROUND(F194/(F$192+F$194+F$196),3)+0.001</f>
        <v>3.6999999999999998E-2</v>
      </c>
      <c r="G195" s="41">
        <f t="shared" ref="G195" si="220">ROUND(G194/(G$192+G$194+G$196),3)</f>
        <v>4.8000000000000001E-2</v>
      </c>
      <c r="H195" s="41">
        <f>ROUND(H194/(H$192+H$194+H$196),3)+0.001</f>
        <v>3.4000000000000002E-2</v>
      </c>
      <c r="I195" s="42">
        <f t="shared" ref="I195" si="221">ROUND(I194/(I$192+I$194+I$196),3)</f>
        <v>3.5000000000000003E-2</v>
      </c>
      <c r="J195" s="40">
        <f>ROUND(J194/(J$192+J$194+J$196),3)+0.001</f>
        <v>3.6000000000000004E-2</v>
      </c>
      <c r="K195" s="41">
        <f t="shared" ref="K195" si="222">ROUND(K194/(K$192+K$194+K$196),3)</f>
        <v>0</v>
      </c>
      <c r="L195" s="41">
        <f>ROUND(L194/(L$192+L$194+L$196),3)+0.001</f>
        <v>6.0999999999999999E-2</v>
      </c>
      <c r="M195" s="41">
        <f t="shared" ref="M195" si="223">ROUND(M194/(M$192+M$194+M$196),3)</f>
        <v>2.9000000000000001E-2</v>
      </c>
      <c r="N195" s="1"/>
      <c r="O195" s="1"/>
      <c r="P195" s="1"/>
      <c r="Q195" s="1"/>
      <c r="R195" s="1"/>
      <c r="S195" s="1"/>
      <c r="AF195" s="7"/>
      <c r="AN195" s="1"/>
    </row>
    <row r="196" spans="2:40" ht="13.5" customHeight="1" x14ac:dyDescent="0.15">
      <c r="D196" s="188" t="s">
        <v>76</v>
      </c>
      <c r="E196" s="190"/>
      <c r="F196" s="22">
        <f>G196+H196+I196</f>
        <v>34</v>
      </c>
      <c r="G196" s="23">
        <v>16</v>
      </c>
      <c r="H196" s="23">
        <v>3</v>
      </c>
      <c r="I196" s="24">
        <v>15</v>
      </c>
      <c r="J196" s="22">
        <f>K196+L196+M196</f>
        <v>51</v>
      </c>
      <c r="K196" s="23">
        <v>22</v>
      </c>
      <c r="L196" s="23">
        <v>5</v>
      </c>
      <c r="M196" s="23">
        <v>24</v>
      </c>
      <c r="N196" s="1"/>
      <c r="O196" s="1"/>
      <c r="P196" s="1"/>
      <c r="Q196" s="1"/>
      <c r="R196" s="1"/>
      <c r="S196" s="1"/>
      <c r="AF196" s="7"/>
      <c r="AN196" s="1"/>
    </row>
    <row r="197" spans="2:40" x14ac:dyDescent="0.15">
      <c r="D197" s="191"/>
      <c r="E197" s="193"/>
      <c r="F197" s="40">
        <f>ROUND(F196/(F$192+F$194+F$196),3)</f>
        <v>5.0999999999999997E-2</v>
      </c>
      <c r="G197" s="41">
        <f t="shared" ref="G197" si="224">ROUND(G196/(G$192+G$194+G$196),3)</f>
        <v>0.25800000000000001</v>
      </c>
      <c r="H197" s="41">
        <f t="shared" ref="H197" si="225">ROUND(H196/(H$192+H$194+H$196),3)</f>
        <v>1.6E-2</v>
      </c>
      <c r="I197" s="42">
        <f t="shared" ref="I197" si="226">ROUND(I196/(I$192+I$194+I$196),3)</f>
        <v>3.5000000000000003E-2</v>
      </c>
      <c r="J197" s="40">
        <f>ROUND(J196/(J$192+J$194+J$196),3)</f>
        <v>7.1999999999999995E-2</v>
      </c>
      <c r="K197" s="41">
        <f t="shared" ref="K197:M197" si="227">ROUND(K196/(K$192+K$194+K$196),3)</f>
        <v>0.28899999999999998</v>
      </c>
      <c r="L197" s="41">
        <f t="shared" si="227"/>
        <v>2.3E-2</v>
      </c>
      <c r="M197" s="41">
        <f t="shared" si="227"/>
        <v>5.8000000000000003E-2</v>
      </c>
      <c r="N197" s="1"/>
      <c r="O197" s="1"/>
      <c r="P197" s="1"/>
      <c r="Q197" s="1"/>
      <c r="R197" s="1"/>
      <c r="S197" s="1"/>
      <c r="AF197" s="7"/>
      <c r="AN197" s="1"/>
    </row>
    <row r="198" spans="2:40" x14ac:dyDescent="0.15">
      <c r="D198" s="187" t="s">
        <v>20</v>
      </c>
      <c r="E198" s="194"/>
      <c r="F198" s="22">
        <f t="shared" ref="F198:I199" si="228">F192+F194+F196</f>
        <v>668</v>
      </c>
      <c r="G198" s="23">
        <f t="shared" si="228"/>
        <v>62</v>
      </c>
      <c r="H198" s="23">
        <f t="shared" si="228"/>
        <v>183</v>
      </c>
      <c r="I198" s="24">
        <f t="shared" si="228"/>
        <v>423</v>
      </c>
      <c r="J198" s="22">
        <f t="shared" ref="J198:M198" si="229">J192+J194+J196</f>
        <v>705</v>
      </c>
      <c r="K198" s="23">
        <f t="shared" si="229"/>
        <v>76</v>
      </c>
      <c r="L198" s="23">
        <f t="shared" si="229"/>
        <v>215</v>
      </c>
      <c r="M198" s="23">
        <f t="shared" si="229"/>
        <v>414</v>
      </c>
      <c r="N198" s="1"/>
      <c r="O198" s="1"/>
      <c r="P198" s="1"/>
      <c r="Q198" s="1"/>
      <c r="R198" s="1"/>
      <c r="S198" s="1"/>
      <c r="AF198" s="7"/>
      <c r="AN198" s="1"/>
    </row>
    <row r="199" spans="2:40" ht="14.25" thickBot="1" x14ac:dyDescent="0.2">
      <c r="D199" s="187"/>
      <c r="E199" s="194"/>
      <c r="F199" s="133">
        <f t="shared" si="228"/>
        <v>1.0010000000000001</v>
      </c>
      <c r="G199" s="134">
        <f t="shared" si="228"/>
        <v>1</v>
      </c>
      <c r="H199" s="134">
        <f t="shared" si="228"/>
        <v>1.0009999999999999</v>
      </c>
      <c r="I199" s="135">
        <f t="shared" si="228"/>
        <v>0.99900000000000011</v>
      </c>
      <c r="J199" s="137">
        <f t="shared" ref="J199:M199" si="230">J193+J195+J197</f>
        <v>1</v>
      </c>
      <c r="K199" s="136">
        <f t="shared" si="230"/>
        <v>1</v>
      </c>
      <c r="L199" s="136">
        <f t="shared" si="230"/>
        <v>1</v>
      </c>
      <c r="M199" s="136">
        <f t="shared" si="230"/>
        <v>1</v>
      </c>
      <c r="N199" s="1"/>
      <c r="O199" s="1"/>
      <c r="P199" s="1"/>
      <c r="Q199" s="1"/>
      <c r="R199" s="1"/>
      <c r="S199" s="1"/>
      <c r="AF199" s="7"/>
      <c r="AN199" s="1"/>
    </row>
    <row r="200" spans="2:40" x14ac:dyDescent="0.15">
      <c r="D200" s="82"/>
      <c r="E200" s="129"/>
      <c r="F200" s="57"/>
      <c r="G200" s="57"/>
      <c r="H200" s="57"/>
      <c r="I200" s="57"/>
      <c r="J200" s="50"/>
      <c r="N200" s="1"/>
      <c r="O200" s="1"/>
      <c r="P200" s="1"/>
      <c r="Q200" s="1"/>
      <c r="R200" s="1"/>
      <c r="S200" s="1"/>
      <c r="AF200" s="7"/>
      <c r="AN200" s="1"/>
    </row>
    <row r="201" spans="2:40" x14ac:dyDescent="0.15">
      <c r="F201" s="50"/>
      <c r="G201" s="50"/>
      <c r="H201" s="50"/>
      <c r="I201" s="50"/>
      <c r="J201" s="50"/>
      <c r="K201" s="69"/>
      <c r="L201" s="50"/>
      <c r="N201" s="50"/>
      <c r="O201" s="69"/>
      <c r="P201" s="50"/>
    </row>
    <row r="202" spans="2:40" ht="14.25" thickBot="1" x14ac:dyDescent="0.2">
      <c r="B202" s="3" t="s">
        <v>74</v>
      </c>
      <c r="F202" s="83"/>
      <c r="K202" s="5"/>
      <c r="O202" s="5"/>
    </row>
    <row r="203" spans="2:40" x14ac:dyDescent="0.15">
      <c r="D203" s="70"/>
      <c r="E203" s="71"/>
      <c r="F203" s="184" t="s">
        <v>265</v>
      </c>
      <c r="G203" s="185"/>
      <c r="H203" s="185"/>
      <c r="I203" s="186"/>
      <c r="J203" s="182" t="s">
        <v>60</v>
      </c>
      <c r="K203" s="187"/>
      <c r="L203" s="187"/>
      <c r="M203" s="187"/>
      <c r="N203" s="197" t="s">
        <v>9</v>
      </c>
      <c r="O203" s="204"/>
      <c r="P203" s="204"/>
      <c r="Q203" s="205"/>
      <c r="R203" s="11"/>
      <c r="S203" s="11"/>
      <c r="T203" s="2"/>
      <c r="U203" s="12"/>
      <c r="V203" s="2"/>
      <c r="W203" s="2"/>
    </row>
    <row r="204" spans="2:40" x14ac:dyDescent="0.15">
      <c r="D204" s="72"/>
      <c r="E204" s="126"/>
      <c r="F204" s="124"/>
      <c r="G204" s="128" t="s">
        <v>11</v>
      </c>
      <c r="H204" s="128" t="s">
        <v>12</v>
      </c>
      <c r="I204" s="39" t="s">
        <v>13</v>
      </c>
      <c r="J204" s="124"/>
      <c r="K204" s="128" t="s">
        <v>11</v>
      </c>
      <c r="L204" s="128" t="s">
        <v>12</v>
      </c>
      <c r="M204" s="128" t="s">
        <v>13</v>
      </c>
      <c r="N204" s="15"/>
      <c r="O204" s="122" t="s">
        <v>11</v>
      </c>
      <c r="P204" s="122" t="s">
        <v>12</v>
      </c>
      <c r="Q204" s="122" t="s">
        <v>13</v>
      </c>
      <c r="R204" s="16"/>
      <c r="S204" s="16"/>
      <c r="T204" s="2"/>
      <c r="U204" s="12"/>
      <c r="V204" s="2"/>
      <c r="W204" s="2"/>
    </row>
    <row r="205" spans="2:40" x14ac:dyDescent="0.15">
      <c r="D205" s="188" t="s">
        <v>49</v>
      </c>
      <c r="E205" s="189"/>
      <c r="F205" s="22">
        <f>G205+H205+I205</f>
        <v>231</v>
      </c>
      <c r="G205" s="23">
        <v>16</v>
      </c>
      <c r="H205" s="23">
        <v>49</v>
      </c>
      <c r="I205" s="24">
        <v>166</v>
      </c>
      <c r="J205" s="22">
        <f>K205+L205+M205</f>
        <v>255</v>
      </c>
      <c r="K205" s="23">
        <v>21</v>
      </c>
      <c r="L205" s="23">
        <v>49</v>
      </c>
      <c r="M205" s="23">
        <v>185</v>
      </c>
      <c r="N205" s="25">
        <f>O205+P205+Q205</f>
        <v>300</v>
      </c>
      <c r="O205" s="23">
        <v>10</v>
      </c>
      <c r="P205" s="23">
        <v>83</v>
      </c>
      <c r="Q205" s="23">
        <v>207</v>
      </c>
      <c r="T205" s="2"/>
      <c r="U205" s="12"/>
      <c r="V205" s="2"/>
      <c r="W205" s="2"/>
    </row>
    <row r="206" spans="2:40" x14ac:dyDescent="0.15">
      <c r="D206" s="191"/>
      <c r="E206" s="192"/>
      <c r="F206" s="40">
        <f t="shared" ref="F206:M206" si="231">ROUND(F205/(F$205+F$207+F$209+F$211),3)</f>
        <v>0.34799999999999998</v>
      </c>
      <c r="G206" s="41">
        <f t="shared" si="231"/>
        <v>0.26700000000000002</v>
      </c>
      <c r="H206" s="41">
        <f t="shared" si="231"/>
        <v>0.26800000000000002</v>
      </c>
      <c r="I206" s="42">
        <f t="shared" si="231"/>
        <v>0.39400000000000002</v>
      </c>
      <c r="J206" s="40">
        <f t="shared" si="231"/>
        <v>0.36099999999999999</v>
      </c>
      <c r="K206" s="41">
        <f t="shared" si="231"/>
        <v>0.27600000000000002</v>
      </c>
      <c r="L206" s="41">
        <f t="shared" si="231"/>
        <v>0.22700000000000001</v>
      </c>
      <c r="M206" s="41">
        <f t="shared" si="231"/>
        <v>0.44600000000000001</v>
      </c>
      <c r="N206" s="43">
        <f>ROUND(N205/(N$205+N$207+N209+N211+N$213),3)</f>
        <v>0.38100000000000001</v>
      </c>
      <c r="O206" s="41">
        <v>0.151</v>
      </c>
      <c r="P206" s="41">
        <f>ROUND(P205/(P$205+P$207+P209+P211+P$213),3)</f>
        <v>0.32400000000000001</v>
      </c>
      <c r="Q206" s="41">
        <f>ROUND(Q205/(Q$205+Q$207+Q209+Q211+Q$213),3)</f>
        <v>0.44500000000000001</v>
      </c>
      <c r="R206" s="38"/>
      <c r="S206" s="38"/>
      <c r="T206" s="2"/>
      <c r="U206" s="12"/>
      <c r="V206" s="2"/>
      <c r="W206" s="2"/>
    </row>
    <row r="207" spans="2:40" x14ac:dyDescent="0.15">
      <c r="D207" s="188" t="s">
        <v>50</v>
      </c>
      <c r="E207" s="189"/>
      <c r="F207" s="22">
        <f>G207+H207+I207</f>
        <v>100</v>
      </c>
      <c r="G207" s="23">
        <v>6</v>
      </c>
      <c r="H207" s="23">
        <v>22</v>
      </c>
      <c r="I207" s="24">
        <v>72</v>
      </c>
      <c r="J207" s="22">
        <f>K207+L207+M207</f>
        <v>102</v>
      </c>
      <c r="K207" s="23">
        <v>4</v>
      </c>
      <c r="L207" s="23">
        <v>33</v>
      </c>
      <c r="M207" s="23">
        <v>65</v>
      </c>
      <c r="N207" s="25">
        <f>O207+P207+Q207</f>
        <v>118</v>
      </c>
      <c r="O207" s="23">
        <v>15</v>
      </c>
      <c r="P207" s="23">
        <v>37</v>
      </c>
      <c r="Q207" s="23">
        <v>66</v>
      </c>
      <c r="T207" s="2"/>
      <c r="U207" s="12"/>
      <c r="V207" s="2"/>
      <c r="W207" s="2"/>
    </row>
    <row r="208" spans="2:40" x14ac:dyDescent="0.15">
      <c r="D208" s="191"/>
      <c r="E208" s="192"/>
      <c r="F208" s="40">
        <f t="shared" ref="F208:M208" si="232">ROUND(F207/(F$205+F$207+F$209+F$211),3)</f>
        <v>0.151</v>
      </c>
      <c r="G208" s="41">
        <f t="shared" si="232"/>
        <v>0.1</v>
      </c>
      <c r="H208" s="41">
        <f t="shared" si="232"/>
        <v>0.12</v>
      </c>
      <c r="I208" s="42">
        <f t="shared" si="232"/>
        <v>0.17100000000000001</v>
      </c>
      <c r="J208" s="40">
        <f t="shared" si="232"/>
        <v>0.14399999999999999</v>
      </c>
      <c r="K208" s="41">
        <f t="shared" si="232"/>
        <v>5.2999999999999999E-2</v>
      </c>
      <c r="L208" s="41">
        <f t="shared" si="232"/>
        <v>0.153</v>
      </c>
      <c r="M208" s="41">
        <f t="shared" si="232"/>
        <v>0.157</v>
      </c>
      <c r="N208" s="43">
        <f>ROUND(N207/(N$205+N$207+N209+N211+N$213),3)</f>
        <v>0.15</v>
      </c>
      <c r="O208" s="41">
        <f>ROUND(O207/(O$205+O$207+O209+O211+O$213),3)</f>
        <v>0.22700000000000001</v>
      </c>
      <c r="P208" s="41">
        <f>ROUND(P207/(P$205+P$207+P209+P211+P$213),3)</f>
        <v>0.14499999999999999</v>
      </c>
      <c r="Q208" s="41">
        <f>ROUND(Q207/(Q$205+Q$207+Q209+Q211+Q$213),3)</f>
        <v>0.14199999999999999</v>
      </c>
      <c r="R208" s="38"/>
      <c r="S208" s="38"/>
      <c r="T208" s="2"/>
      <c r="U208" s="12"/>
      <c r="V208" s="2"/>
      <c r="W208" s="2"/>
    </row>
    <row r="209" spans="2:40" x14ac:dyDescent="0.15">
      <c r="D209" s="188" t="s">
        <v>51</v>
      </c>
      <c r="E209" s="189"/>
      <c r="F209" s="22">
        <f>G209+H209+I209</f>
        <v>139</v>
      </c>
      <c r="G209" s="23">
        <v>16</v>
      </c>
      <c r="H209" s="23">
        <v>49</v>
      </c>
      <c r="I209" s="24">
        <v>74</v>
      </c>
      <c r="J209" s="22">
        <f>K209+L209+M209</f>
        <v>141</v>
      </c>
      <c r="K209" s="23">
        <v>21</v>
      </c>
      <c r="L209" s="23">
        <v>53</v>
      </c>
      <c r="M209" s="23">
        <v>67</v>
      </c>
      <c r="N209" s="25">
        <f>O209+P209+Q209</f>
        <v>163</v>
      </c>
      <c r="O209" s="23">
        <v>17</v>
      </c>
      <c r="P209" s="23">
        <v>54</v>
      </c>
      <c r="Q209" s="23">
        <v>92</v>
      </c>
      <c r="R209" s="38"/>
      <c r="S209" s="38"/>
      <c r="T209" s="2"/>
      <c r="U209" s="12"/>
      <c r="V209" s="2"/>
      <c r="W209" s="2"/>
    </row>
    <row r="210" spans="2:40" x14ac:dyDescent="0.15">
      <c r="D210" s="191"/>
      <c r="E210" s="192"/>
      <c r="F210" s="40">
        <f t="shared" ref="F210:M210" si="233">ROUND(F209/(F$205+F$207+F$209+F$211),3)</f>
        <v>0.20899999999999999</v>
      </c>
      <c r="G210" s="41">
        <f t="shared" si="233"/>
        <v>0.26700000000000002</v>
      </c>
      <c r="H210" s="41">
        <f t="shared" si="233"/>
        <v>0.26800000000000002</v>
      </c>
      <c r="I210" s="42">
        <f t="shared" si="233"/>
        <v>0.17599999999999999</v>
      </c>
      <c r="J210" s="40">
        <f t="shared" si="233"/>
        <v>0.19900000000000001</v>
      </c>
      <c r="K210" s="41">
        <f t="shared" si="233"/>
        <v>0.27600000000000002</v>
      </c>
      <c r="L210" s="41">
        <f t="shared" si="233"/>
        <v>0.245</v>
      </c>
      <c r="M210" s="41">
        <f t="shared" si="233"/>
        <v>0.161</v>
      </c>
      <c r="N210" s="43">
        <f>ROUND(N209/(N$205+N$207+N209+N211+N$213),3)</f>
        <v>0.20699999999999999</v>
      </c>
      <c r="O210" s="41">
        <f>ROUND(O209/(O$205+O$207+O209+O211+O$213),3)</f>
        <v>0.25800000000000001</v>
      </c>
      <c r="P210" s="41">
        <f>ROUND(P209/(P$205+P$207+P209+P211+P$213),3)</f>
        <v>0.21099999999999999</v>
      </c>
      <c r="Q210" s="41">
        <f>ROUND(Q209/(Q$205+Q$207+Q209+Q211+Q$213),3)</f>
        <v>0.19800000000000001</v>
      </c>
      <c r="R210" s="38"/>
      <c r="S210" s="38"/>
      <c r="T210" s="2"/>
      <c r="U210" s="12"/>
      <c r="V210" s="2"/>
      <c r="W210" s="2"/>
    </row>
    <row r="211" spans="2:40" x14ac:dyDescent="0.15">
      <c r="D211" s="234" t="s">
        <v>52</v>
      </c>
      <c r="E211" s="239"/>
      <c r="F211" s="22">
        <f>G211+H211+I211</f>
        <v>194</v>
      </c>
      <c r="G211" s="23">
        <v>22</v>
      </c>
      <c r="H211" s="23">
        <v>63</v>
      </c>
      <c r="I211" s="24">
        <v>109</v>
      </c>
      <c r="J211" s="22">
        <f>K211+L211+M211</f>
        <v>209</v>
      </c>
      <c r="K211" s="23">
        <v>30</v>
      </c>
      <c r="L211" s="23">
        <v>81</v>
      </c>
      <c r="M211" s="23">
        <v>98</v>
      </c>
      <c r="N211" s="25">
        <f>O211+P211+Q211</f>
        <v>203</v>
      </c>
      <c r="O211" s="23">
        <v>24</v>
      </c>
      <c r="P211" s="23">
        <v>82</v>
      </c>
      <c r="Q211" s="23">
        <v>97</v>
      </c>
      <c r="R211" s="38"/>
      <c r="S211" s="38"/>
      <c r="T211" s="2"/>
      <c r="U211" s="12"/>
      <c r="V211" s="2"/>
      <c r="W211" s="2"/>
    </row>
    <row r="212" spans="2:40" x14ac:dyDescent="0.15">
      <c r="D212" s="191"/>
      <c r="E212" s="192"/>
      <c r="F212" s="40">
        <f t="shared" ref="F212:M212" si="234">ROUND(F211/(F$205+F$207+F$209+F$211),3)</f>
        <v>0.29199999999999998</v>
      </c>
      <c r="G212" s="41">
        <f t="shared" si="234"/>
        <v>0.36699999999999999</v>
      </c>
      <c r="H212" s="41">
        <f t="shared" si="234"/>
        <v>0.34399999999999997</v>
      </c>
      <c r="I212" s="42">
        <f t="shared" si="234"/>
        <v>0.25900000000000001</v>
      </c>
      <c r="J212" s="40">
        <f t="shared" si="234"/>
        <v>0.29599999999999999</v>
      </c>
      <c r="K212" s="41">
        <f t="shared" si="234"/>
        <v>0.39500000000000002</v>
      </c>
      <c r="L212" s="41">
        <f t="shared" si="234"/>
        <v>0.375</v>
      </c>
      <c r="M212" s="41">
        <f t="shared" si="234"/>
        <v>0.23599999999999999</v>
      </c>
      <c r="N212" s="43">
        <f>ROUND(N211/(N$205+N$207+N$209+N$211+N$213),3)</f>
        <v>0.25800000000000001</v>
      </c>
      <c r="O212" s="41">
        <f>ROUND(O211/(O$205+O$207+O$209+O$211+O$213),3)</f>
        <v>0.36399999999999999</v>
      </c>
      <c r="P212" s="41">
        <f>ROUND(P211/(P$205+P$207+P$209+P$211+P$213),3)</f>
        <v>0.32</v>
      </c>
      <c r="Q212" s="41">
        <f>ROUND(Q211/(Q$205+Q$207+Q$209+Q$211+Q$213),3)</f>
        <v>0.20899999999999999</v>
      </c>
      <c r="R212" s="38"/>
      <c r="S212" s="38"/>
      <c r="T212" s="2"/>
      <c r="U212" s="12"/>
      <c r="V212" s="2"/>
      <c r="W212" s="2"/>
    </row>
    <row r="213" spans="2:40" ht="13.5" customHeight="1" x14ac:dyDescent="0.15">
      <c r="D213" s="188" t="s">
        <v>19</v>
      </c>
      <c r="E213" s="189"/>
      <c r="F213" s="182" t="s">
        <v>7</v>
      </c>
      <c r="G213" s="176" t="s">
        <v>7</v>
      </c>
      <c r="H213" s="176" t="s">
        <v>7</v>
      </c>
      <c r="I213" s="180" t="s">
        <v>7</v>
      </c>
      <c r="J213" s="182" t="s">
        <v>7</v>
      </c>
      <c r="K213" s="176" t="s">
        <v>7</v>
      </c>
      <c r="L213" s="176" t="s">
        <v>7</v>
      </c>
      <c r="M213" s="176" t="s">
        <v>7</v>
      </c>
      <c r="N213" s="25">
        <f>O213+P213+Q213</f>
        <v>3</v>
      </c>
      <c r="O213" s="23">
        <v>0</v>
      </c>
      <c r="P213" s="23">
        <v>0</v>
      </c>
      <c r="Q213" s="23">
        <v>3</v>
      </c>
      <c r="T213" s="2"/>
      <c r="U213" s="12"/>
      <c r="V213" s="2"/>
      <c r="W213" s="2"/>
    </row>
    <row r="214" spans="2:40" x14ac:dyDescent="0.15">
      <c r="D214" s="191"/>
      <c r="E214" s="192"/>
      <c r="F214" s="183"/>
      <c r="G214" s="177"/>
      <c r="H214" s="177"/>
      <c r="I214" s="181"/>
      <c r="J214" s="183"/>
      <c r="K214" s="177"/>
      <c r="L214" s="177"/>
      <c r="M214" s="177"/>
      <c r="N214" s="43">
        <f>ROUND(N213/(N$205+N$207+N209+N211+N$213),3)</f>
        <v>4.0000000000000001E-3</v>
      </c>
      <c r="O214" s="41">
        <f>ROUND(O213/(O$205+O$207+O209+O211+O$213),3)</f>
        <v>0</v>
      </c>
      <c r="P214" s="41">
        <f>ROUND(P213/(P$205+P$207+P209+P211+P$213),3)</f>
        <v>0</v>
      </c>
      <c r="Q214" s="41">
        <f>ROUND(Q213/(Q$205+Q$207+Q209+Q211+Q$213),3)</f>
        <v>6.0000000000000001E-3</v>
      </c>
      <c r="R214" s="38"/>
      <c r="S214" s="38"/>
      <c r="T214" s="34"/>
      <c r="U214" s="35"/>
      <c r="V214" s="34"/>
      <c r="W214" s="2"/>
    </row>
    <row r="215" spans="2:40" x14ac:dyDescent="0.15">
      <c r="D215" s="187" t="s">
        <v>20</v>
      </c>
      <c r="E215" s="194"/>
      <c r="F215" s="22">
        <f t="shared" ref="F215:M216" si="235">F205+F207+F209+F211</f>
        <v>664</v>
      </c>
      <c r="G215" s="23">
        <f t="shared" si="235"/>
        <v>60</v>
      </c>
      <c r="H215" s="23">
        <f t="shared" si="235"/>
        <v>183</v>
      </c>
      <c r="I215" s="24">
        <f t="shared" si="235"/>
        <v>421</v>
      </c>
      <c r="J215" s="22">
        <f t="shared" si="235"/>
        <v>707</v>
      </c>
      <c r="K215" s="23">
        <f t="shared" si="235"/>
        <v>76</v>
      </c>
      <c r="L215" s="23">
        <f t="shared" si="235"/>
        <v>216</v>
      </c>
      <c r="M215" s="23">
        <f t="shared" si="235"/>
        <v>415</v>
      </c>
      <c r="N215" s="45">
        <f t="shared" ref="N215:Q216" si="236">N205+N207+N209+N211+N213</f>
        <v>787</v>
      </c>
      <c r="O215" s="84">
        <f t="shared" si="236"/>
        <v>66</v>
      </c>
      <c r="P215" s="84">
        <f t="shared" si="236"/>
        <v>256</v>
      </c>
      <c r="Q215" s="23">
        <f t="shared" si="236"/>
        <v>465</v>
      </c>
      <c r="T215" s="2"/>
      <c r="U215" s="12"/>
      <c r="V215" s="2"/>
      <c r="W215" s="2"/>
    </row>
    <row r="216" spans="2:40" ht="14.25" thickBot="1" x14ac:dyDescent="0.2">
      <c r="D216" s="187"/>
      <c r="E216" s="194"/>
      <c r="F216" s="133">
        <f t="shared" si="235"/>
        <v>1</v>
      </c>
      <c r="G216" s="134">
        <f t="shared" si="235"/>
        <v>1.0009999999999999</v>
      </c>
      <c r="H216" s="134">
        <f t="shared" si="235"/>
        <v>1</v>
      </c>
      <c r="I216" s="135">
        <f t="shared" si="235"/>
        <v>1</v>
      </c>
      <c r="J216" s="137">
        <f t="shared" si="235"/>
        <v>1</v>
      </c>
      <c r="K216" s="136">
        <f t="shared" si="235"/>
        <v>1</v>
      </c>
      <c r="L216" s="136">
        <f t="shared" si="235"/>
        <v>1</v>
      </c>
      <c r="M216" s="136">
        <f t="shared" si="235"/>
        <v>1</v>
      </c>
      <c r="N216" s="132">
        <f t="shared" si="236"/>
        <v>1</v>
      </c>
      <c r="O216" s="152">
        <f t="shared" si="236"/>
        <v>1</v>
      </c>
      <c r="P216" s="152">
        <f t="shared" si="236"/>
        <v>1</v>
      </c>
      <c r="Q216" s="136">
        <f t="shared" si="236"/>
        <v>0.99999999999999989</v>
      </c>
      <c r="R216" s="50"/>
      <c r="S216" s="50"/>
      <c r="T216" s="2"/>
      <c r="U216" s="12"/>
      <c r="V216" s="2"/>
      <c r="W216" s="2"/>
    </row>
    <row r="217" spans="2:40" x14ac:dyDescent="0.15">
      <c r="D217" s="82"/>
      <c r="E217" s="129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0"/>
      <c r="S217" s="50"/>
      <c r="T217" s="2"/>
      <c r="U217" s="12"/>
      <c r="V217" s="2"/>
      <c r="W217" s="2"/>
    </row>
    <row r="218" spans="2:40" x14ac:dyDescent="0.15">
      <c r="F218" s="50"/>
      <c r="G218" s="50"/>
      <c r="H218" s="50"/>
      <c r="I218" s="50"/>
      <c r="J218" s="50"/>
      <c r="K218" s="69"/>
      <c r="L218" s="50"/>
      <c r="N218" s="50"/>
      <c r="O218" s="69"/>
      <c r="P218" s="50"/>
    </row>
    <row r="219" spans="2:40" ht="14.25" thickBot="1" x14ac:dyDescent="0.2">
      <c r="B219" s="3" t="s">
        <v>77</v>
      </c>
      <c r="G219" s="10"/>
      <c r="K219" s="5"/>
      <c r="O219" s="5"/>
    </row>
    <row r="220" spans="2:40" x14ac:dyDescent="0.15">
      <c r="D220" s="203"/>
      <c r="E220" s="197"/>
      <c r="F220" s="184" t="s">
        <v>265</v>
      </c>
      <c r="G220" s="185"/>
      <c r="H220" s="185"/>
      <c r="I220" s="186"/>
      <c r="J220" s="182" t="s">
        <v>60</v>
      </c>
      <c r="K220" s="187"/>
      <c r="L220" s="187"/>
      <c r="M220" s="187"/>
      <c r="N220" s="1"/>
      <c r="O220" s="1"/>
      <c r="P220" s="1"/>
      <c r="Q220" s="1"/>
      <c r="R220" s="1"/>
      <c r="S220" s="1"/>
      <c r="AF220" s="7"/>
      <c r="AN220" s="1"/>
    </row>
    <row r="221" spans="2:40" x14ac:dyDescent="0.15">
      <c r="D221" s="210"/>
      <c r="E221" s="211"/>
      <c r="F221" s="124"/>
      <c r="G221" s="128" t="s">
        <v>11</v>
      </c>
      <c r="H221" s="128" t="s">
        <v>12</v>
      </c>
      <c r="I221" s="39" t="s">
        <v>13</v>
      </c>
      <c r="J221" s="124"/>
      <c r="K221" s="128" t="s">
        <v>11</v>
      </c>
      <c r="L221" s="128" t="s">
        <v>12</v>
      </c>
      <c r="M221" s="128" t="s">
        <v>13</v>
      </c>
      <c r="N221" s="1"/>
      <c r="O221" s="1"/>
      <c r="P221" s="1"/>
      <c r="Q221" s="1"/>
      <c r="R221" s="1"/>
      <c r="S221" s="1"/>
      <c r="AF221" s="7"/>
      <c r="AN221" s="1"/>
    </row>
    <row r="222" spans="2:40" x14ac:dyDescent="0.15">
      <c r="D222" s="188" t="s">
        <v>78</v>
      </c>
      <c r="E222" s="189"/>
      <c r="F222" s="22">
        <f>G222+H222+I222</f>
        <v>1</v>
      </c>
      <c r="G222" s="23">
        <v>0</v>
      </c>
      <c r="H222" s="23">
        <v>1</v>
      </c>
      <c r="I222" s="24">
        <v>0</v>
      </c>
      <c r="J222" s="22">
        <f>K222+L222+M222</f>
        <v>8</v>
      </c>
      <c r="K222" s="23">
        <v>0</v>
      </c>
      <c r="L222" s="23">
        <v>8</v>
      </c>
      <c r="M222" s="23">
        <v>0</v>
      </c>
      <c r="N222" s="1"/>
      <c r="O222" s="1"/>
      <c r="P222" s="1"/>
      <c r="Q222" s="1"/>
      <c r="R222" s="1"/>
      <c r="S222" s="1"/>
      <c r="AF222" s="7"/>
      <c r="AN222" s="1"/>
    </row>
    <row r="223" spans="2:40" x14ac:dyDescent="0.15">
      <c r="D223" s="191"/>
      <c r="E223" s="192"/>
      <c r="F223" s="40">
        <f>ROUND(F222/(F$222+F$224+F$226+F$228+F$230),3)</f>
        <v>2E-3</v>
      </c>
      <c r="G223" s="41">
        <f t="shared" ref="G223:I223" si="237">ROUND(G222/(G$222+G$224+G$226+G$228+G$230),3)</f>
        <v>0</v>
      </c>
      <c r="H223" s="41">
        <f t="shared" si="237"/>
        <v>5.0000000000000001E-3</v>
      </c>
      <c r="I223" s="42">
        <f t="shared" si="237"/>
        <v>0</v>
      </c>
      <c r="J223" s="40">
        <f>ROUND(J222/(J$222+J$224+J$226+J$228+J$230),3)</f>
        <v>1.0999999999999999E-2</v>
      </c>
      <c r="K223" s="41">
        <f t="shared" ref="K223:M223" si="238">ROUND(K222/(K$222+K$224+K$226+K$228+K$230),3)</f>
        <v>0</v>
      </c>
      <c r="L223" s="41">
        <f t="shared" si="238"/>
        <v>3.6999999999999998E-2</v>
      </c>
      <c r="M223" s="41">
        <f t="shared" si="238"/>
        <v>0</v>
      </c>
      <c r="N223" s="1"/>
      <c r="O223" s="1"/>
      <c r="P223" s="1"/>
      <c r="Q223" s="1"/>
      <c r="R223" s="1"/>
      <c r="S223" s="1"/>
      <c r="AF223" s="7"/>
      <c r="AN223" s="1"/>
    </row>
    <row r="224" spans="2:40" x14ac:dyDescent="0.15">
      <c r="D224" s="188" t="s">
        <v>79</v>
      </c>
      <c r="E224" s="189"/>
      <c r="F224" s="22">
        <f>G224+H224+I224</f>
        <v>67</v>
      </c>
      <c r="G224" s="23">
        <v>2</v>
      </c>
      <c r="H224" s="23">
        <v>22</v>
      </c>
      <c r="I224" s="24">
        <v>43</v>
      </c>
      <c r="J224" s="22">
        <f>K224+L224+M224</f>
        <v>86</v>
      </c>
      <c r="K224" s="23">
        <v>1</v>
      </c>
      <c r="L224" s="23">
        <v>26</v>
      </c>
      <c r="M224" s="23">
        <v>59</v>
      </c>
      <c r="N224" s="1"/>
      <c r="O224" s="1"/>
      <c r="P224" s="1"/>
      <c r="Q224" s="1"/>
      <c r="R224" s="1"/>
      <c r="S224" s="1"/>
      <c r="AF224" s="7"/>
      <c r="AN224" s="1"/>
    </row>
    <row r="225" spans="2:40" x14ac:dyDescent="0.15">
      <c r="D225" s="191"/>
      <c r="E225" s="192"/>
      <c r="F225" s="40">
        <f>ROUND(F224/(F$222+F$224+F$226+F$228+F$230),3)</f>
        <v>0.10100000000000001</v>
      </c>
      <c r="G225" s="41">
        <f t="shared" ref="G225" si="239">ROUND(G224/(G$222+G$224+G$226+G$228+G$230),3)</f>
        <v>3.4000000000000002E-2</v>
      </c>
      <c r="H225" s="41">
        <f t="shared" ref="H225" si="240">ROUND(H224/(H$222+H$224+H$226+H$228+H$230),3)</f>
        <v>0.121</v>
      </c>
      <c r="I225" s="42">
        <f t="shared" ref="I225" si="241">ROUND(I224/(I$222+I$224+I$226+I$228+I$230),3)</f>
        <v>0.10199999999999999</v>
      </c>
      <c r="J225" s="40">
        <f>ROUND(J224/(J$222+J$224+J$226+J$228+J$230),3)</f>
        <v>0.122</v>
      </c>
      <c r="K225" s="41">
        <f t="shared" ref="K225:M225" si="242">ROUND(K224/(K$222+K$224+K$226+K$228+K$230),3)</f>
        <v>1.2999999999999999E-2</v>
      </c>
      <c r="L225" s="41">
        <f t="shared" si="242"/>
        <v>0.121</v>
      </c>
      <c r="M225" s="41">
        <f t="shared" si="242"/>
        <v>0.14199999999999999</v>
      </c>
      <c r="N225" s="1"/>
      <c r="O225" s="1"/>
      <c r="P225" s="1"/>
      <c r="Q225" s="1"/>
      <c r="R225" s="1"/>
      <c r="S225" s="1"/>
      <c r="AF225" s="7"/>
      <c r="AN225" s="1"/>
    </row>
    <row r="226" spans="2:40" x14ac:dyDescent="0.15">
      <c r="D226" s="240" t="s">
        <v>80</v>
      </c>
      <c r="E226" s="241"/>
      <c r="F226" s="22">
        <f>G226+H226+I226</f>
        <v>199</v>
      </c>
      <c r="G226" s="23">
        <v>2</v>
      </c>
      <c r="H226" s="23">
        <v>67</v>
      </c>
      <c r="I226" s="24">
        <v>130</v>
      </c>
      <c r="J226" s="22">
        <f>K226+L226+M226</f>
        <v>219</v>
      </c>
      <c r="K226" s="23">
        <v>2</v>
      </c>
      <c r="L226" s="23">
        <v>83</v>
      </c>
      <c r="M226" s="23">
        <v>134</v>
      </c>
      <c r="N226" s="1"/>
      <c r="O226" s="1"/>
      <c r="P226" s="1"/>
      <c r="Q226" s="1"/>
      <c r="R226" s="1"/>
      <c r="S226" s="1"/>
      <c r="AF226" s="7"/>
      <c r="AN226" s="1"/>
    </row>
    <row r="227" spans="2:40" x14ac:dyDescent="0.15">
      <c r="D227" s="242"/>
      <c r="E227" s="243"/>
      <c r="F227" s="40">
        <f>ROUND(F226/(F$222+F$224+F$226+F$228+F$230),3)</f>
        <v>0.30099999999999999</v>
      </c>
      <c r="G227" s="41">
        <f t="shared" ref="G227" si="243">ROUND(G226/(G$222+G$224+G$226+G$228+G$230),3)</f>
        <v>3.4000000000000002E-2</v>
      </c>
      <c r="H227" s="41">
        <f t="shared" ref="H227" si="244">ROUND(H226/(H$222+H$224+H$226+H$228+H$230),3)</f>
        <v>0.36799999999999999</v>
      </c>
      <c r="I227" s="42">
        <f t="shared" ref="I227" si="245">ROUND(I226/(I$222+I$224+I$226+I$228+I$230),3)</f>
        <v>0.31</v>
      </c>
      <c r="J227" s="40">
        <f>ROUND(J226/(J$222+J$224+J$226+J$228+J$230),3)</f>
        <v>0.311</v>
      </c>
      <c r="K227" s="41">
        <f t="shared" ref="K227:M227" si="246">ROUND(K226/(K$222+K$224+K$226+K$228+K$230),3)</f>
        <v>2.7E-2</v>
      </c>
      <c r="L227" s="41">
        <f t="shared" si="246"/>
        <v>0.38600000000000001</v>
      </c>
      <c r="M227" s="41">
        <f t="shared" si="246"/>
        <v>0.32300000000000001</v>
      </c>
      <c r="N227" s="1"/>
      <c r="O227" s="1"/>
      <c r="P227" s="1"/>
      <c r="Q227" s="1"/>
      <c r="R227" s="1"/>
      <c r="S227" s="1"/>
      <c r="AF227" s="7"/>
      <c r="AN227" s="1"/>
    </row>
    <row r="228" spans="2:40" x14ac:dyDescent="0.15">
      <c r="D228" s="240" t="s">
        <v>81</v>
      </c>
      <c r="E228" s="241"/>
      <c r="F228" s="22">
        <f>G228+H228+I228</f>
        <v>240</v>
      </c>
      <c r="G228" s="23">
        <v>8</v>
      </c>
      <c r="H228" s="23">
        <v>83</v>
      </c>
      <c r="I228" s="24">
        <v>149</v>
      </c>
      <c r="J228" s="22">
        <f>K228+L228+M228</f>
        <v>209</v>
      </c>
      <c r="K228" s="23">
        <v>10</v>
      </c>
      <c r="L228" s="23">
        <v>86</v>
      </c>
      <c r="M228" s="23">
        <v>113</v>
      </c>
      <c r="N228" s="1"/>
      <c r="O228" s="1"/>
      <c r="P228" s="1"/>
      <c r="Q228" s="1"/>
      <c r="R228" s="1"/>
      <c r="S228" s="1"/>
      <c r="AF228" s="7"/>
      <c r="AN228" s="1"/>
    </row>
    <row r="229" spans="2:40" x14ac:dyDescent="0.15">
      <c r="D229" s="242"/>
      <c r="E229" s="243"/>
      <c r="F229" s="40">
        <f>ROUND(F228/(F$222+F$224+F$226+F$228+F$230),3)</f>
        <v>0.36299999999999999</v>
      </c>
      <c r="G229" s="41">
        <f t="shared" ref="G229" si="247">ROUND(G228/(G$222+G$224+G$226+G$228+G$230),3)</f>
        <v>0.13600000000000001</v>
      </c>
      <c r="H229" s="41">
        <f t="shared" ref="H229" si="248">ROUND(H228/(H$222+H$224+H$226+H$228+H$230),3)</f>
        <v>0.45600000000000002</v>
      </c>
      <c r="I229" s="42">
        <f t="shared" ref="I229" si="249">ROUND(I228/(I$222+I$224+I$226+I$228+I$230),3)</f>
        <v>0.35499999999999998</v>
      </c>
      <c r="J229" s="40">
        <f>ROUND(J228/(J$222+J$224+J$226+J$228+J$230),3)</f>
        <v>0.29599999999999999</v>
      </c>
      <c r="K229" s="41">
        <f t="shared" ref="K229:M229" si="250">ROUND(K228/(K$222+K$224+K$226+K$228+K$230),3)</f>
        <v>0.13300000000000001</v>
      </c>
      <c r="L229" s="41">
        <f t="shared" si="250"/>
        <v>0.4</v>
      </c>
      <c r="M229" s="41">
        <f t="shared" si="250"/>
        <v>0.27200000000000002</v>
      </c>
      <c r="N229" s="1"/>
      <c r="O229" s="1"/>
      <c r="P229" s="1"/>
      <c r="Q229" s="1"/>
      <c r="R229" s="1"/>
      <c r="S229" s="1"/>
      <c r="AF229" s="7"/>
      <c r="AN229" s="1"/>
    </row>
    <row r="230" spans="2:40" x14ac:dyDescent="0.15">
      <c r="D230" s="244" t="s">
        <v>82</v>
      </c>
      <c r="E230" s="245"/>
      <c r="F230" s="22">
        <f>G230+H230+I230</f>
        <v>154</v>
      </c>
      <c r="G230" s="23">
        <v>47</v>
      </c>
      <c r="H230" s="23">
        <v>9</v>
      </c>
      <c r="I230" s="24">
        <v>98</v>
      </c>
      <c r="J230" s="22">
        <f>K230+L230+M230</f>
        <v>183</v>
      </c>
      <c r="K230" s="23">
        <v>62</v>
      </c>
      <c r="L230" s="23">
        <v>12</v>
      </c>
      <c r="M230" s="23">
        <v>109</v>
      </c>
      <c r="N230" s="1"/>
      <c r="O230" s="1"/>
      <c r="P230" s="1"/>
      <c r="Q230" s="1"/>
      <c r="R230" s="1"/>
      <c r="S230" s="1"/>
      <c r="AF230" s="7"/>
      <c r="AN230" s="1"/>
    </row>
    <row r="231" spans="2:40" x14ac:dyDescent="0.15">
      <c r="D231" s="246"/>
      <c r="E231" s="247"/>
      <c r="F231" s="40">
        <f>ROUND(F230/(F$222+F$224+F$226+F$228+F$230),3)</f>
        <v>0.23300000000000001</v>
      </c>
      <c r="G231" s="41">
        <f t="shared" ref="G231" si="251">ROUND(G230/(G$222+G$224+G$226+G$228+G$230),3)</f>
        <v>0.79700000000000004</v>
      </c>
      <c r="H231" s="41">
        <f t="shared" ref="H231" si="252">ROUND(H230/(H$222+H$224+H$226+H$228+H$230),3)</f>
        <v>4.9000000000000002E-2</v>
      </c>
      <c r="I231" s="42">
        <f t="shared" ref="I231" si="253">ROUND(I230/(I$222+I$224+I$226+I$228+I$230),3)</f>
        <v>0.23300000000000001</v>
      </c>
      <c r="J231" s="40">
        <f>ROUND(J230/(J$222+J$224+J$226+J$228+J$230),3)</f>
        <v>0.26</v>
      </c>
      <c r="K231" s="41">
        <f t="shared" ref="K231:M231" si="254">ROUND(K230/(K$222+K$224+K$226+K$228+K$230),3)</f>
        <v>0.82699999999999996</v>
      </c>
      <c r="L231" s="41">
        <f t="shared" si="254"/>
        <v>5.6000000000000001E-2</v>
      </c>
      <c r="M231" s="41">
        <f t="shared" si="254"/>
        <v>0.26300000000000001</v>
      </c>
      <c r="N231" s="1"/>
      <c r="O231" s="1"/>
      <c r="P231" s="1"/>
      <c r="Q231" s="1"/>
      <c r="R231" s="1"/>
      <c r="S231" s="1"/>
      <c r="AF231" s="7"/>
      <c r="AN231" s="1"/>
    </row>
    <row r="232" spans="2:40" x14ac:dyDescent="0.15">
      <c r="D232" s="187" t="s">
        <v>20</v>
      </c>
      <c r="E232" s="194"/>
      <c r="F232" s="22">
        <f t="shared" ref="F232:I233" si="255">F222+F224+F226+F228+F230</f>
        <v>661</v>
      </c>
      <c r="G232" s="23">
        <f t="shared" si="255"/>
        <v>59</v>
      </c>
      <c r="H232" s="23">
        <f t="shared" si="255"/>
        <v>182</v>
      </c>
      <c r="I232" s="24">
        <f t="shared" si="255"/>
        <v>420</v>
      </c>
      <c r="J232" s="22">
        <f t="shared" ref="J232:M232" si="256">J222+J224+J226+J228+J230</f>
        <v>705</v>
      </c>
      <c r="K232" s="23">
        <f t="shared" si="256"/>
        <v>75</v>
      </c>
      <c r="L232" s="23">
        <f t="shared" si="256"/>
        <v>215</v>
      </c>
      <c r="M232" s="23">
        <f t="shared" si="256"/>
        <v>415</v>
      </c>
      <c r="N232" s="1"/>
      <c r="O232" s="1"/>
      <c r="P232" s="1"/>
      <c r="Q232" s="1"/>
      <c r="R232" s="1"/>
      <c r="S232" s="1"/>
      <c r="AF232" s="7"/>
      <c r="AN232" s="1"/>
    </row>
    <row r="233" spans="2:40" ht="14.25" thickBot="1" x14ac:dyDescent="0.2">
      <c r="D233" s="187"/>
      <c r="E233" s="194"/>
      <c r="F233" s="133">
        <f t="shared" si="255"/>
        <v>1</v>
      </c>
      <c r="G233" s="134">
        <f t="shared" si="255"/>
        <v>1.0010000000000001</v>
      </c>
      <c r="H233" s="134">
        <f t="shared" si="255"/>
        <v>0.999</v>
      </c>
      <c r="I233" s="135">
        <f t="shared" si="255"/>
        <v>0.99999999999999989</v>
      </c>
      <c r="J233" s="137">
        <f t="shared" ref="J233:M233" si="257">J223+J225+J227+J229+J231</f>
        <v>1</v>
      </c>
      <c r="K233" s="136">
        <f t="shared" si="257"/>
        <v>1</v>
      </c>
      <c r="L233" s="136">
        <f t="shared" si="257"/>
        <v>1</v>
      </c>
      <c r="M233" s="136">
        <f t="shared" si="257"/>
        <v>1</v>
      </c>
      <c r="N233" s="1"/>
      <c r="O233" s="1"/>
      <c r="P233" s="1"/>
      <c r="Q233" s="1"/>
      <c r="R233" s="1"/>
      <c r="S233" s="1"/>
      <c r="AF233" s="7"/>
      <c r="AN233" s="1"/>
    </row>
    <row r="234" spans="2:40" x14ac:dyDescent="0.15">
      <c r="D234" s="82"/>
      <c r="E234" s="129"/>
      <c r="F234" s="57"/>
      <c r="G234" s="57"/>
      <c r="H234" s="57"/>
      <c r="I234" s="57"/>
      <c r="J234" s="57"/>
      <c r="K234" s="57"/>
      <c r="L234" s="57"/>
      <c r="M234" s="57"/>
      <c r="N234" s="1"/>
      <c r="O234" s="1"/>
      <c r="P234" s="1"/>
      <c r="Q234" s="1"/>
      <c r="R234" s="1"/>
      <c r="S234" s="1"/>
      <c r="AF234" s="7"/>
      <c r="AN234" s="1"/>
    </row>
    <row r="235" spans="2:40" x14ac:dyDescent="0.15">
      <c r="D235" s="82"/>
      <c r="E235" s="129"/>
      <c r="F235" s="69"/>
      <c r="G235" s="69"/>
      <c r="H235" s="69"/>
      <c r="I235" s="69"/>
      <c r="J235" s="57"/>
      <c r="K235" s="57"/>
      <c r="L235" s="57"/>
      <c r="M235" s="57"/>
      <c r="N235" s="57"/>
      <c r="O235" s="57"/>
      <c r="P235" s="57"/>
      <c r="Q235" s="57"/>
      <c r="R235" s="50"/>
      <c r="S235" s="50"/>
      <c r="T235" s="34"/>
      <c r="U235" s="35"/>
      <c r="V235" s="34"/>
      <c r="W235" s="2"/>
    </row>
    <row r="236" spans="2:40" ht="14.25" thickBot="1" x14ac:dyDescent="0.2">
      <c r="B236" s="3" t="s">
        <v>244</v>
      </c>
      <c r="G236" s="85"/>
      <c r="K236" s="5"/>
      <c r="O236" s="5"/>
    </row>
    <row r="237" spans="2:40" x14ac:dyDescent="0.15">
      <c r="D237" s="203"/>
      <c r="E237" s="197"/>
      <c r="F237" s="184" t="s">
        <v>265</v>
      </c>
      <c r="G237" s="185"/>
      <c r="H237" s="185"/>
      <c r="I237" s="186"/>
      <c r="J237" s="182" t="s">
        <v>60</v>
      </c>
      <c r="K237" s="187"/>
      <c r="L237" s="187"/>
      <c r="M237" s="187"/>
      <c r="N237" s="197" t="s">
        <v>9</v>
      </c>
      <c r="O237" s="197"/>
      <c r="P237" s="197"/>
      <c r="Q237" s="198"/>
      <c r="R237" s="11"/>
      <c r="S237" s="11"/>
      <c r="T237" s="2"/>
      <c r="U237" s="12"/>
      <c r="V237" s="2"/>
      <c r="W237" s="2"/>
    </row>
    <row r="238" spans="2:40" x14ac:dyDescent="0.15">
      <c r="D238" s="210"/>
      <c r="E238" s="211"/>
      <c r="F238" s="124"/>
      <c r="G238" s="128" t="s">
        <v>11</v>
      </c>
      <c r="H238" s="128" t="s">
        <v>12</v>
      </c>
      <c r="I238" s="39" t="s">
        <v>13</v>
      </c>
      <c r="J238" s="124"/>
      <c r="K238" s="128" t="s">
        <v>11</v>
      </c>
      <c r="L238" s="128" t="s">
        <v>12</v>
      </c>
      <c r="M238" s="128" t="s">
        <v>13</v>
      </c>
      <c r="N238" s="15"/>
      <c r="O238" s="122" t="s">
        <v>11</v>
      </c>
      <c r="P238" s="122" t="s">
        <v>12</v>
      </c>
      <c r="Q238" s="122" t="s">
        <v>13</v>
      </c>
      <c r="R238" s="16"/>
      <c r="S238" s="16"/>
      <c r="T238" s="2"/>
      <c r="U238" s="12"/>
      <c r="V238" s="2"/>
      <c r="W238" s="2"/>
    </row>
    <row r="239" spans="2:40" x14ac:dyDescent="0.15">
      <c r="D239" s="188" t="s">
        <v>204</v>
      </c>
      <c r="E239" s="189"/>
      <c r="F239" s="22">
        <f>G239+H239+I239</f>
        <v>479</v>
      </c>
      <c r="G239" s="23">
        <v>32</v>
      </c>
      <c r="H239" s="23">
        <v>144</v>
      </c>
      <c r="I239" s="24">
        <v>303</v>
      </c>
      <c r="J239" s="22">
        <f>K239+L239+M239</f>
        <v>514</v>
      </c>
      <c r="K239" s="23">
        <v>44</v>
      </c>
      <c r="L239" s="23">
        <v>179</v>
      </c>
      <c r="M239" s="23">
        <v>291</v>
      </c>
      <c r="N239" s="25">
        <f>O239+P239+Q239</f>
        <v>609</v>
      </c>
      <c r="O239" s="23">
        <v>42</v>
      </c>
      <c r="P239" s="23">
        <v>223</v>
      </c>
      <c r="Q239" s="23">
        <v>344</v>
      </c>
      <c r="T239" s="2"/>
      <c r="U239" s="12"/>
      <c r="V239" s="2"/>
      <c r="W239" s="2"/>
    </row>
    <row r="240" spans="2:40" x14ac:dyDescent="0.15">
      <c r="D240" s="191"/>
      <c r="E240" s="192"/>
      <c r="F240" s="40">
        <f>ROUND(F239/(F$239+F$241),3)</f>
        <v>0.72399999999999998</v>
      </c>
      <c r="G240" s="41">
        <f t="shared" ref="G240:I240" si="258">ROUND(G239/(G$239+G$241),3)</f>
        <v>0.53300000000000003</v>
      </c>
      <c r="H240" s="41">
        <f t="shared" si="258"/>
        <v>0.78300000000000003</v>
      </c>
      <c r="I240" s="42">
        <f t="shared" si="258"/>
        <v>0.72499999999999998</v>
      </c>
      <c r="J240" s="40">
        <f>ROUND(J239/(J$239+J$241),3)</f>
        <v>0.72899999999999998</v>
      </c>
      <c r="K240" s="41">
        <f t="shared" ref="K240:M240" si="259">ROUND(K239/(K$239+K$241),3)</f>
        <v>0.57899999999999996</v>
      </c>
      <c r="L240" s="41">
        <f t="shared" si="259"/>
        <v>0.82899999999999996</v>
      </c>
      <c r="M240" s="41">
        <f t="shared" si="259"/>
        <v>0.70499999999999996</v>
      </c>
      <c r="N240" s="43">
        <f t="shared" ref="N240:Q240" si="260">ROUND(N239/(N$239+N$241+N$243),3)</f>
        <v>0.77400000000000002</v>
      </c>
      <c r="O240" s="41">
        <f t="shared" si="260"/>
        <v>0.63600000000000001</v>
      </c>
      <c r="P240" s="41">
        <f t="shared" si="260"/>
        <v>0.871</v>
      </c>
      <c r="Q240" s="41">
        <f t="shared" si="260"/>
        <v>0.74</v>
      </c>
      <c r="R240" s="38"/>
      <c r="S240" s="38"/>
      <c r="T240" s="2"/>
      <c r="U240" s="12"/>
      <c r="V240" s="2"/>
      <c r="W240" s="2"/>
    </row>
    <row r="241" spans="2:40" x14ac:dyDescent="0.15">
      <c r="D241" s="188" t="s">
        <v>205</v>
      </c>
      <c r="E241" s="189"/>
      <c r="F241" s="22">
        <f>G241+H241+I241</f>
        <v>183</v>
      </c>
      <c r="G241" s="23">
        <v>28</v>
      </c>
      <c r="H241" s="23">
        <v>40</v>
      </c>
      <c r="I241" s="24">
        <v>115</v>
      </c>
      <c r="J241" s="22">
        <f>K241+L241+M241</f>
        <v>191</v>
      </c>
      <c r="K241" s="23">
        <v>32</v>
      </c>
      <c r="L241" s="23">
        <v>37</v>
      </c>
      <c r="M241" s="23">
        <v>122</v>
      </c>
      <c r="N241" s="25">
        <f>O241+P241+Q241</f>
        <v>175</v>
      </c>
      <c r="O241" s="23">
        <v>24</v>
      </c>
      <c r="P241" s="23">
        <v>33</v>
      </c>
      <c r="Q241" s="23">
        <v>118</v>
      </c>
      <c r="T241" s="2"/>
      <c r="U241" s="12"/>
      <c r="V241" s="2"/>
      <c r="W241" s="2"/>
    </row>
    <row r="242" spans="2:40" x14ac:dyDescent="0.15">
      <c r="D242" s="191"/>
      <c r="E242" s="192"/>
      <c r="F242" s="40">
        <f>ROUND(F241/(F$239+F$241),3)</f>
        <v>0.27600000000000002</v>
      </c>
      <c r="G242" s="41">
        <f t="shared" ref="G242" si="261">ROUND(G241/(G$239+G$241),3)</f>
        <v>0.46700000000000003</v>
      </c>
      <c r="H242" s="41">
        <f t="shared" ref="H242" si="262">ROUND(H241/(H$239+H$241),3)</f>
        <v>0.217</v>
      </c>
      <c r="I242" s="42">
        <f t="shared" ref="I242" si="263">ROUND(I241/(I$239+I$241),3)</f>
        <v>0.27500000000000002</v>
      </c>
      <c r="J242" s="40">
        <f>ROUND(J241/(J$239+J$241),3)</f>
        <v>0.27100000000000002</v>
      </c>
      <c r="K242" s="41">
        <f t="shared" ref="K242:M242" si="264">ROUND(K241/(K$239+K$241),3)</f>
        <v>0.42099999999999999</v>
      </c>
      <c r="L242" s="41">
        <f t="shared" si="264"/>
        <v>0.17100000000000001</v>
      </c>
      <c r="M242" s="41">
        <f t="shared" si="264"/>
        <v>0.29499999999999998</v>
      </c>
      <c r="N242" s="43">
        <f t="shared" ref="N242:Q242" si="265">ROUND(N241/(N$239+N$241+N$243),3)</f>
        <v>0.222</v>
      </c>
      <c r="O242" s="41">
        <f t="shared" si="265"/>
        <v>0.36399999999999999</v>
      </c>
      <c r="P242" s="41">
        <f t="shared" si="265"/>
        <v>0.129</v>
      </c>
      <c r="Q242" s="41">
        <f t="shared" si="265"/>
        <v>0.254</v>
      </c>
      <c r="R242" s="38"/>
      <c r="S242" s="38"/>
      <c r="T242" s="2"/>
      <c r="U242" s="12"/>
      <c r="V242" s="2"/>
      <c r="W242" s="2"/>
    </row>
    <row r="243" spans="2:40" x14ac:dyDescent="0.15">
      <c r="D243" s="188" t="s">
        <v>19</v>
      </c>
      <c r="E243" s="189"/>
      <c r="F243" s="182" t="s">
        <v>7</v>
      </c>
      <c r="G243" s="176" t="s">
        <v>7</v>
      </c>
      <c r="H243" s="176" t="s">
        <v>7</v>
      </c>
      <c r="I243" s="180" t="s">
        <v>7</v>
      </c>
      <c r="J243" s="182" t="s">
        <v>7</v>
      </c>
      <c r="K243" s="176" t="s">
        <v>7</v>
      </c>
      <c r="L243" s="176" t="s">
        <v>7</v>
      </c>
      <c r="M243" s="176" t="s">
        <v>7</v>
      </c>
      <c r="N243" s="25">
        <f>O243+P243+Q243</f>
        <v>3</v>
      </c>
      <c r="O243" s="23">
        <v>0</v>
      </c>
      <c r="P243" s="23">
        <v>0</v>
      </c>
      <c r="Q243" s="23">
        <v>3</v>
      </c>
      <c r="T243" s="2"/>
      <c r="U243" s="12"/>
      <c r="V243" s="2"/>
      <c r="W243" s="2"/>
    </row>
    <row r="244" spans="2:40" x14ac:dyDescent="0.15">
      <c r="D244" s="191"/>
      <c r="E244" s="192"/>
      <c r="F244" s="183"/>
      <c r="G244" s="177"/>
      <c r="H244" s="177"/>
      <c r="I244" s="181"/>
      <c r="J244" s="183"/>
      <c r="K244" s="177"/>
      <c r="L244" s="177"/>
      <c r="M244" s="177"/>
      <c r="N244" s="43">
        <f t="shared" ref="N244:Q244" si="266">ROUND(N243/(N$239+N$241+N$243),3)</f>
        <v>4.0000000000000001E-3</v>
      </c>
      <c r="O244" s="41">
        <f t="shared" si="266"/>
        <v>0</v>
      </c>
      <c r="P244" s="41">
        <f t="shared" si="266"/>
        <v>0</v>
      </c>
      <c r="Q244" s="41">
        <f t="shared" si="266"/>
        <v>6.0000000000000001E-3</v>
      </c>
      <c r="R244" s="38"/>
      <c r="S244" s="38"/>
      <c r="T244" s="2"/>
      <c r="U244" s="12"/>
      <c r="V244" s="2"/>
      <c r="W244" s="2"/>
    </row>
    <row r="245" spans="2:40" x14ac:dyDescent="0.15">
      <c r="D245" s="187" t="s">
        <v>20</v>
      </c>
      <c r="E245" s="194"/>
      <c r="F245" s="22">
        <f>F239+F241</f>
        <v>662</v>
      </c>
      <c r="G245" s="23">
        <f t="shared" ref="G245:I245" si="267">G239+G241</f>
        <v>60</v>
      </c>
      <c r="H245" s="23">
        <f t="shared" si="267"/>
        <v>184</v>
      </c>
      <c r="I245" s="24">
        <f t="shared" si="267"/>
        <v>418</v>
      </c>
      <c r="J245" s="22">
        <f>J239+J241</f>
        <v>705</v>
      </c>
      <c r="K245" s="23">
        <f t="shared" ref="K245:M245" si="268">K239+K241</f>
        <v>76</v>
      </c>
      <c r="L245" s="23">
        <f t="shared" si="268"/>
        <v>216</v>
      </c>
      <c r="M245" s="23">
        <f t="shared" si="268"/>
        <v>413</v>
      </c>
      <c r="N245" s="66">
        <f t="shared" ref="N245:Q245" si="269">N239+N241+N243</f>
        <v>787</v>
      </c>
      <c r="O245" s="59">
        <f t="shared" si="269"/>
        <v>66</v>
      </c>
      <c r="P245" s="66">
        <f t="shared" si="269"/>
        <v>256</v>
      </c>
      <c r="Q245" s="59">
        <f t="shared" si="269"/>
        <v>465</v>
      </c>
      <c r="T245" s="2"/>
      <c r="U245" s="12"/>
      <c r="V245" s="2"/>
      <c r="W245" s="2"/>
    </row>
    <row r="246" spans="2:40" ht="14.25" thickBot="1" x14ac:dyDescent="0.2">
      <c r="D246" s="187"/>
      <c r="E246" s="194"/>
      <c r="F246" s="133">
        <f>F240+F242</f>
        <v>1</v>
      </c>
      <c r="G246" s="134">
        <f t="shared" ref="G246:I246" si="270">G240+G242</f>
        <v>1</v>
      </c>
      <c r="H246" s="134">
        <f t="shared" si="270"/>
        <v>1</v>
      </c>
      <c r="I246" s="135">
        <f t="shared" si="270"/>
        <v>1</v>
      </c>
      <c r="J246" s="137">
        <f>J240+J242</f>
        <v>1</v>
      </c>
      <c r="K246" s="136">
        <f t="shared" ref="K246:M246" si="271">K240+K242</f>
        <v>1</v>
      </c>
      <c r="L246" s="136">
        <f t="shared" si="271"/>
        <v>1</v>
      </c>
      <c r="M246" s="136">
        <f t="shared" si="271"/>
        <v>1</v>
      </c>
      <c r="N246" s="132">
        <f t="shared" ref="N246:Q246" si="272">N240+N242+N244</f>
        <v>1</v>
      </c>
      <c r="O246" s="136">
        <f t="shared" si="272"/>
        <v>1</v>
      </c>
      <c r="P246" s="132">
        <f t="shared" si="272"/>
        <v>1</v>
      </c>
      <c r="Q246" s="136">
        <f t="shared" si="272"/>
        <v>1</v>
      </c>
      <c r="R246" s="50"/>
      <c r="S246" s="50"/>
      <c r="T246" s="34"/>
      <c r="U246" s="35"/>
      <c r="V246" s="34"/>
      <c r="W246" s="2"/>
    </row>
    <row r="247" spans="2:40" x14ac:dyDescent="0.15">
      <c r="D247" s="82"/>
      <c r="E247" s="129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0"/>
      <c r="S247" s="50"/>
      <c r="T247" s="34"/>
      <c r="U247" s="35"/>
      <c r="V247" s="34"/>
      <c r="W247" s="2"/>
    </row>
    <row r="248" spans="2:40" x14ac:dyDescent="0.15">
      <c r="D248" s="82"/>
      <c r="E248" s="129"/>
      <c r="F248" s="69"/>
      <c r="G248" s="69"/>
      <c r="H248" s="69"/>
      <c r="I248" s="69"/>
      <c r="J248" s="57"/>
      <c r="K248" s="57"/>
      <c r="L248" s="57"/>
      <c r="M248" s="57"/>
      <c r="N248" s="57"/>
      <c r="O248" s="57"/>
      <c r="P248" s="57"/>
      <c r="Q248" s="57"/>
      <c r="R248" s="50"/>
      <c r="S248" s="50"/>
      <c r="T248" s="34"/>
      <c r="U248" s="35"/>
      <c r="V248" s="34"/>
      <c r="W248" s="2"/>
    </row>
    <row r="249" spans="2:40" ht="14.25" thickBot="1" x14ac:dyDescent="0.2">
      <c r="B249" s="3" t="s">
        <v>245</v>
      </c>
      <c r="G249" s="85"/>
      <c r="K249" s="5"/>
      <c r="O249" s="5"/>
    </row>
    <row r="250" spans="2:40" x14ac:dyDescent="0.15">
      <c r="D250" s="203"/>
      <c r="E250" s="197"/>
      <c r="F250" s="184" t="s">
        <v>265</v>
      </c>
      <c r="G250" s="185"/>
      <c r="H250" s="185"/>
      <c r="I250" s="186"/>
      <c r="J250" s="182" t="s">
        <v>60</v>
      </c>
      <c r="K250" s="187"/>
      <c r="L250" s="187"/>
      <c r="M250" s="187"/>
      <c r="N250" s="1"/>
      <c r="O250" s="1"/>
      <c r="P250" s="1"/>
      <c r="Q250" s="1"/>
      <c r="R250" s="1"/>
      <c r="S250" s="1"/>
      <c r="AF250" s="7"/>
      <c r="AN250" s="1"/>
    </row>
    <row r="251" spans="2:40" x14ac:dyDescent="0.15">
      <c r="D251" s="210"/>
      <c r="E251" s="211"/>
      <c r="F251" s="124"/>
      <c r="G251" s="128" t="s">
        <v>11</v>
      </c>
      <c r="H251" s="128" t="s">
        <v>12</v>
      </c>
      <c r="I251" s="39" t="s">
        <v>13</v>
      </c>
      <c r="J251" s="124"/>
      <c r="K251" s="128" t="s">
        <v>11</v>
      </c>
      <c r="L251" s="128" t="s">
        <v>12</v>
      </c>
      <c r="M251" s="128" t="s">
        <v>13</v>
      </c>
      <c r="N251" s="1"/>
      <c r="O251" s="1"/>
      <c r="P251" s="1"/>
      <c r="Q251" s="1"/>
      <c r="R251" s="1"/>
      <c r="S251" s="1"/>
      <c r="AF251" s="7"/>
      <c r="AN251" s="1"/>
    </row>
    <row r="252" spans="2:40" x14ac:dyDescent="0.15">
      <c r="D252" s="188" t="s">
        <v>204</v>
      </c>
      <c r="E252" s="189"/>
      <c r="F252" s="22">
        <f>G252+H252+I252</f>
        <v>299</v>
      </c>
      <c r="G252" s="23">
        <v>20</v>
      </c>
      <c r="H252" s="23">
        <v>95</v>
      </c>
      <c r="I252" s="24">
        <v>184</v>
      </c>
      <c r="J252" s="22">
        <f>K252+L252+M252</f>
        <v>305</v>
      </c>
      <c r="K252" s="23">
        <v>22</v>
      </c>
      <c r="L252" s="23">
        <v>108</v>
      </c>
      <c r="M252" s="23">
        <v>175</v>
      </c>
      <c r="N252" s="1"/>
      <c r="O252" s="1"/>
      <c r="P252" s="1"/>
      <c r="Q252" s="1"/>
      <c r="R252" s="1"/>
      <c r="S252" s="1"/>
      <c r="AF252" s="7"/>
      <c r="AN252" s="1"/>
    </row>
    <row r="253" spans="2:40" x14ac:dyDescent="0.15">
      <c r="D253" s="191"/>
      <c r="E253" s="192"/>
      <c r="F253" s="40">
        <f>ROUND(F252/(F$252+F$254),3)</f>
        <v>0.45500000000000002</v>
      </c>
      <c r="G253" s="41">
        <f t="shared" ref="G253:I253" si="273">ROUND(G252/(G$252+G$254),3)</f>
        <v>0.33900000000000002</v>
      </c>
      <c r="H253" s="41">
        <f t="shared" si="273"/>
        <v>0.51900000000000002</v>
      </c>
      <c r="I253" s="42">
        <f t="shared" si="273"/>
        <v>0.443</v>
      </c>
      <c r="J253" s="40">
        <f>ROUND(J252/(J$252+J$254),3)</f>
        <v>0.437</v>
      </c>
      <c r="K253" s="41">
        <f t="shared" ref="K253:M253" si="274">ROUND(K252/(K$252+K$254),3)</f>
        <v>0.29299999999999998</v>
      </c>
      <c r="L253" s="41">
        <f t="shared" si="274"/>
        <v>0.50900000000000001</v>
      </c>
      <c r="M253" s="41">
        <f t="shared" si="274"/>
        <v>0.42599999999999999</v>
      </c>
      <c r="N253" s="1"/>
      <c r="O253" s="1"/>
      <c r="P253" s="1"/>
      <c r="Q253" s="1"/>
      <c r="R253" s="1"/>
      <c r="S253" s="1"/>
      <c r="AF253" s="7"/>
      <c r="AN253" s="1"/>
    </row>
    <row r="254" spans="2:40" x14ac:dyDescent="0.15">
      <c r="D254" s="188" t="s">
        <v>205</v>
      </c>
      <c r="E254" s="189"/>
      <c r="F254" s="22">
        <f>G254+H254+I254</f>
        <v>358</v>
      </c>
      <c r="G254" s="23">
        <v>39</v>
      </c>
      <c r="H254" s="23">
        <v>88</v>
      </c>
      <c r="I254" s="24">
        <v>231</v>
      </c>
      <c r="J254" s="22">
        <f>K254+L254+M254</f>
        <v>393</v>
      </c>
      <c r="K254" s="23">
        <v>53</v>
      </c>
      <c r="L254" s="23">
        <v>104</v>
      </c>
      <c r="M254" s="23">
        <v>236</v>
      </c>
      <c r="N254" s="1"/>
      <c r="O254" s="1"/>
      <c r="P254" s="1"/>
      <c r="Q254" s="1"/>
      <c r="R254" s="1"/>
      <c r="S254" s="1"/>
      <c r="AF254" s="7"/>
      <c r="AN254" s="1"/>
    </row>
    <row r="255" spans="2:40" x14ac:dyDescent="0.15">
      <c r="D255" s="191"/>
      <c r="E255" s="192"/>
      <c r="F255" s="40">
        <f>ROUND(F254/(F$252+F$254),3)</f>
        <v>0.54500000000000004</v>
      </c>
      <c r="G255" s="41">
        <f t="shared" ref="G255" si="275">ROUND(G254/(G$252+G$254),3)</f>
        <v>0.66100000000000003</v>
      </c>
      <c r="H255" s="41">
        <f t="shared" ref="H255" si="276">ROUND(H254/(H$252+H$254),3)</f>
        <v>0.48099999999999998</v>
      </c>
      <c r="I255" s="42">
        <f t="shared" ref="I255" si="277">ROUND(I254/(I$252+I$254),3)</f>
        <v>0.55700000000000005</v>
      </c>
      <c r="J255" s="40">
        <f>ROUND(J254/(J$252+J$254),3)</f>
        <v>0.56299999999999994</v>
      </c>
      <c r="K255" s="41">
        <f t="shared" ref="K255:M255" si="278">ROUND(K254/(K$252+K$254),3)</f>
        <v>0.70699999999999996</v>
      </c>
      <c r="L255" s="41">
        <f t="shared" si="278"/>
        <v>0.49099999999999999</v>
      </c>
      <c r="M255" s="41">
        <f t="shared" si="278"/>
        <v>0.57399999999999995</v>
      </c>
      <c r="N255" s="1"/>
      <c r="O255" s="1"/>
      <c r="P255" s="1"/>
      <c r="Q255" s="1"/>
      <c r="R255" s="1"/>
      <c r="S255" s="1"/>
      <c r="AF255" s="7"/>
      <c r="AN255" s="1"/>
    </row>
    <row r="256" spans="2:40" x14ac:dyDescent="0.15">
      <c r="D256" s="187" t="s">
        <v>20</v>
      </c>
      <c r="E256" s="194"/>
      <c r="F256" s="22">
        <f>F252+F254</f>
        <v>657</v>
      </c>
      <c r="G256" s="23">
        <f t="shared" ref="G256:I256" si="279">G252+G254</f>
        <v>59</v>
      </c>
      <c r="H256" s="23">
        <f t="shared" si="279"/>
        <v>183</v>
      </c>
      <c r="I256" s="24">
        <f t="shared" si="279"/>
        <v>415</v>
      </c>
      <c r="J256" s="22">
        <f>J252+J254</f>
        <v>698</v>
      </c>
      <c r="K256" s="23">
        <f t="shared" ref="K256:M256" si="280">K252+K254</f>
        <v>75</v>
      </c>
      <c r="L256" s="23">
        <f t="shared" si="280"/>
        <v>212</v>
      </c>
      <c r="M256" s="23">
        <f t="shared" si="280"/>
        <v>411</v>
      </c>
      <c r="N256" s="1"/>
      <c r="O256" s="1"/>
      <c r="P256" s="1"/>
      <c r="Q256" s="1"/>
      <c r="R256" s="1"/>
      <c r="S256" s="1"/>
      <c r="AF256" s="7"/>
      <c r="AN256" s="1"/>
    </row>
    <row r="257" spans="1:41" ht="14.25" thickBot="1" x14ac:dyDescent="0.2">
      <c r="D257" s="187"/>
      <c r="E257" s="194"/>
      <c r="F257" s="133">
        <f>F253+F255</f>
        <v>1</v>
      </c>
      <c r="G257" s="134">
        <f t="shared" ref="G257:I257" si="281">G253+G255</f>
        <v>1</v>
      </c>
      <c r="H257" s="134">
        <f t="shared" si="281"/>
        <v>1</v>
      </c>
      <c r="I257" s="135">
        <f t="shared" si="281"/>
        <v>1</v>
      </c>
      <c r="J257" s="137">
        <f>J253+J255</f>
        <v>1</v>
      </c>
      <c r="K257" s="136">
        <f t="shared" ref="K257:M257" si="282">K253+K255</f>
        <v>1</v>
      </c>
      <c r="L257" s="136">
        <f t="shared" si="282"/>
        <v>1</v>
      </c>
      <c r="M257" s="136">
        <f t="shared" si="282"/>
        <v>1</v>
      </c>
      <c r="N257" s="1"/>
      <c r="O257" s="1"/>
      <c r="P257" s="1"/>
      <c r="Q257" s="1"/>
      <c r="R257" s="1"/>
      <c r="S257" s="1"/>
      <c r="AF257" s="7"/>
      <c r="AN257" s="1"/>
    </row>
    <row r="259" spans="1:41" x14ac:dyDescent="0.15">
      <c r="A259" s="195" t="s">
        <v>184</v>
      </c>
      <c r="B259" s="195"/>
      <c r="C259" s="195"/>
      <c r="D259" s="195"/>
      <c r="E259" s="195"/>
      <c r="F259" s="195"/>
      <c r="G259" s="195"/>
      <c r="H259" s="195"/>
      <c r="R259" s="1"/>
      <c r="S259" s="1"/>
      <c r="AM259" s="7"/>
      <c r="AN259" s="1"/>
    </row>
    <row r="261" spans="1:41" ht="14.25" thickBot="1" x14ac:dyDescent="0.2">
      <c r="B261" s="3" t="s">
        <v>84</v>
      </c>
      <c r="G261" s="10"/>
      <c r="K261" s="5"/>
      <c r="O261" s="5"/>
    </row>
    <row r="262" spans="1:41" x14ac:dyDescent="0.15">
      <c r="D262" s="70"/>
      <c r="E262" s="71"/>
      <c r="F262" s="86"/>
      <c r="G262" s="184" t="s">
        <v>265</v>
      </c>
      <c r="H262" s="185"/>
      <c r="I262" s="185"/>
      <c r="J262" s="186"/>
      <c r="K262" s="182" t="s">
        <v>60</v>
      </c>
      <c r="L262" s="196"/>
      <c r="M262" s="196"/>
      <c r="N262" s="196"/>
      <c r="O262" s="197" t="s">
        <v>9</v>
      </c>
      <c r="P262" s="204"/>
      <c r="Q262" s="204"/>
      <c r="R262" s="205"/>
      <c r="S262" s="123"/>
      <c r="T262" s="11"/>
      <c r="U262" s="87"/>
      <c r="V262" s="11"/>
      <c r="W262" s="2"/>
      <c r="X262" s="2"/>
      <c r="AN262" s="1"/>
      <c r="AO262" s="7"/>
    </row>
    <row r="263" spans="1:41" x14ac:dyDescent="0.15">
      <c r="D263" s="72"/>
      <c r="E263" s="126"/>
      <c r="F263" s="126"/>
      <c r="G263" s="124"/>
      <c r="H263" s="128" t="s">
        <v>11</v>
      </c>
      <c r="I263" s="128" t="s">
        <v>12</v>
      </c>
      <c r="J263" s="39" t="s">
        <v>13</v>
      </c>
      <c r="K263" s="124"/>
      <c r="L263" s="128" t="s">
        <v>11</v>
      </c>
      <c r="M263" s="128" t="s">
        <v>12</v>
      </c>
      <c r="N263" s="122" t="s">
        <v>13</v>
      </c>
      <c r="O263" s="15"/>
      <c r="P263" s="122" t="s">
        <v>11</v>
      </c>
      <c r="Q263" s="122" t="s">
        <v>12</v>
      </c>
      <c r="R263" s="122" t="s">
        <v>13</v>
      </c>
      <c r="S263" s="121"/>
      <c r="T263" s="16"/>
      <c r="U263" s="88"/>
      <c r="V263" s="16"/>
      <c r="W263" s="2"/>
      <c r="X263" s="2"/>
      <c r="AN263" s="1"/>
      <c r="AO263" s="7"/>
    </row>
    <row r="264" spans="1:41" x14ac:dyDescent="0.15">
      <c r="D264" s="188" t="s">
        <v>85</v>
      </c>
      <c r="E264" s="189"/>
      <c r="F264" s="190"/>
      <c r="G264" s="22">
        <f>H264+I264+J264</f>
        <v>477</v>
      </c>
      <c r="H264" s="23">
        <v>15</v>
      </c>
      <c r="I264" s="23">
        <v>127</v>
      </c>
      <c r="J264" s="24">
        <v>335</v>
      </c>
      <c r="K264" s="22">
        <f>L264+M264+N264</f>
        <v>491</v>
      </c>
      <c r="L264" s="23">
        <v>17</v>
      </c>
      <c r="M264" s="23">
        <v>149</v>
      </c>
      <c r="N264" s="23">
        <v>325</v>
      </c>
      <c r="O264" s="25">
        <f>P264+Q264+R264</f>
        <v>563</v>
      </c>
      <c r="P264" s="23">
        <v>18</v>
      </c>
      <c r="Q264" s="23">
        <v>176</v>
      </c>
      <c r="R264" s="23">
        <v>369</v>
      </c>
      <c r="S264" s="99"/>
      <c r="T264" s="2"/>
      <c r="U264" s="12"/>
      <c r="V264" s="2"/>
      <c r="W264" s="2"/>
      <c r="X264" s="2"/>
      <c r="AN264" s="1"/>
      <c r="AO264" s="7"/>
    </row>
    <row r="265" spans="1:41" x14ac:dyDescent="0.15">
      <c r="D265" s="191"/>
      <c r="E265" s="192"/>
      <c r="F265" s="193"/>
      <c r="G265" s="40">
        <f>ROUND(G264/(G$264+G$266+G$268+G$270+G$272+G$274),3)</f>
        <v>0.71899999999999997</v>
      </c>
      <c r="H265" s="41">
        <f t="shared" ref="H265:J265" si="283">ROUND(H264/(H$264+H$266+H$268+H$270+H$272+H$274),3)</f>
        <v>0.254</v>
      </c>
      <c r="I265" s="41">
        <f t="shared" si="283"/>
        <v>0.68300000000000005</v>
      </c>
      <c r="J265" s="42">
        <f t="shared" si="283"/>
        <v>0.80100000000000005</v>
      </c>
      <c r="K265" s="40">
        <f>ROUND(K264/(K$264+K$266+K$268+K$270+K$272+K$274),3)</f>
        <v>0.69399999999999995</v>
      </c>
      <c r="L265" s="41">
        <f t="shared" ref="L265:N265" si="284">ROUND(L264/(L$264+L$266+L$268+L$270+L$272+L$274),3)</f>
        <v>0.224</v>
      </c>
      <c r="M265" s="41">
        <f t="shared" si="284"/>
        <v>0.68700000000000006</v>
      </c>
      <c r="N265" s="41">
        <f t="shared" si="284"/>
        <v>0.78300000000000003</v>
      </c>
      <c r="O265" s="43">
        <f>ROUND(O264/(O$264+O$266+O$268+O$270+O$272+O$274+O$276),3)</f>
        <v>0.71499999999999997</v>
      </c>
      <c r="P265" s="41">
        <f t="shared" ref="P265" si="285">ROUND(P264/(P$264+P$266+P$268+P$270+P$272+P$274+P$276),3)</f>
        <v>0.27300000000000002</v>
      </c>
      <c r="Q265" s="41">
        <f>ROUND(Q264/(Q$264+Q$266+Q$268+Q$270+Q$272+Q$274+Q$276),3)</f>
        <v>0.68799999999999994</v>
      </c>
      <c r="R265" s="41">
        <f t="shared" ref="R265" si="286">ROUND(R264/(R$264+R$266+R$268+R$270+R$272+R$274+R$276),3)</f>
        <v>0.79400000000000004</v>
      </c>
      <c r="S265" s="57"/>
      <c r="T265" s="38"/>
      <c r="U265" s="12"/>
      <c r="V265" s="38"/>
      <c r="W265" s="2"/>
      <c r="X265" s="2"/>
      <c r="AN265" s="1"/>
      <c r="AO265" s="7"/>
    </row>
    <row r="266" spans="1:41" x14ac:dyDescent="0.15">
      <c r="D266" s="188" t="s">
        <v>86</v>
      </c>
      <c r="E266" s="189"/>
      <c r="F266" s="190"/>
      <c r="G266" s="22">
        <f>H266+I266+J266</f>
        <v>78</v>
      </c>
      <c r="H266" s="23">
        <v>20</v>
      </c>
      <c r="I266" s="23">
        <v>25</v>
      </c>
      <c r="J266" s="24">
        <v>33</v>
      </c>
      <c r="K266" s="22">
        <f>L266+M266+N266</f>
        <v>92</v>
      </c>
      <c r="L266" s="23">
        <v>22</v>
      </c>
      <c r="M266" s="23">
        <v>32</v>
      </c>
      <c r="N266" s="23">
        <v>38</v>
      </c>
      <c r="O266" s="25">
        <f>P266+Q266+R266</f>
        <v>102</v>
      </c>
      <c r="P266" s="23">
        <v>27</v>
      </c>
      <c r="Q266" s="23">
        <v>39</v>
      </c>
      <c r="R266" s="23">
        <v>36</v>
      </c>
      <c r="S266" s="99"/>
      <c r="T266" s="2"/>
      <c r="U266" s="12"/>
      <c r="V266" s="2"/>
      <c r="W266" s="2"/>
      <c r="X266" s="2"/>
      <c r="AN266" s="1"/>
      <c r="AO266" s="7"/>
    </row>
    <row r="267" spans="1:41" x14ac:dyDescent="0.15">
      <c r="D267" s="191"/>
      <c r="E267" s="192"/>
      <c r="F267" s="193"/>
      <c r="G267" s="40">
        <f>ROUND(G266/(G$264+G$266+G$268+G$270+G$272+G$274),3)</f>
        <v>0.11799999999999999</v>
      </c>
      <c r="H267" s="41">
        <f>ROUND(H266/(H$264+H$266+H$268+H$270+H$272+H$274),3)+0.001</f>
        <v>0.34</v>
      </c>
      <c r="I267" s="41">
        <f t="shared" ref="I267" si="287">ROUND(I266/(I$264+I$266+I$268+I$270+I$272+I$274),3)</f>
        <v>0.13400000000000001</v>
      </c>
      <c r="J267" s="42">
        <f>ROUND(J266/(J$264+J$266+J$268+J$270+J$272+J$274),3)-0.001</f>
        <v>7.8E-2</v>
      </c>
      <c r="K267" s="40">
        <f>ROUND(K266/(K$264+K$266+K$268+K$270+K$272+K$274),3)</f>
        <v>0.13</v>
      </c>
      <c r="L267" s="41">
        <f>ROUND(L266/(L$264+L$266+L$268+L$270+L$272+L$274),3)+0.001</f>
        <v>0.28999999999999998</v>
      </c>
      <c r="M267" s="41">
        <f t="shared" ref="M267" si="288">ROUND(M266/(M$264+M$266+M$268+M$270+M$272+M$274),3)</f>
        <v>0.14699999999999999</v>
      </c>
      <c r="N267" s="41">
        <f>ROUND(N266/(N$264+N$266+N$268+N$270+N$272+N$274),3)-0.001</f>
        <v>9.0999999999999998E-2</v>
      </c>
      <c r="O267" s="43">
        <f>ROUND(O266/(O$264+O$266+O$268+O$270+O$272+O$274+O$276),3)</f>
        <v>0.13</v>
      </c>
      <c r="P267" s="41">
        <f t="shared" ref="P267" si="289">ROUND(P266/(P$264+P$266+P$268+P$270+P$272+P$274+P$276),3)</f>
        <v>0.40899999999999997</v>
      </c>
      <c r="Q267" s="41">
        <f>ROUND(Q266/(Q$264+Q$266+Q$268+Q$270+Q$272+Q$274+Q$276),3)</f>
        <v>0.152</v>
      </c>
      <c r="R267" s="41">
        <f t="shared" ref="R267" si="290">ROUND(R266/(R$264+R$266+R$268+R$270+R$272+R$274+R$276),3)</f>
        <v>7.6999999999999999E-2</v>
      </c>
      <c r="S267" s="57"/>
      <c r="T267" s="38"/>
      <c r="U267" s="12"/>
      <c r="V267" s="38"/>
      <c r="W267" s="2"/>
      <c r="X267" s="2"/>
      <c r="AN267" s="1"/>
      <c r="AO267" s="7"/>
    </row>
    <row r="268" spans="1:41" x14ac:dyDescent="0.15">
      <c r="D268" s="188" t="s">
        <v>87</v>
      </c>
      <c r="E268" s="189"/>
      <c r="F268" s="190"/>
      <c r="G268" s="22">
        <f>H268+I268+J268</f>
        <v>31</v>
      </c>
      <c r="H268" s="23">
        <v>2</v>
      </c>
      <c r="I268" s="23">
        <v>18</v>
      </c>
      <c r="J268" s="24">
        <v>11</v>
      </c>
      <c r="K268" s="22">
        <f>L268+M268+N268</f>
        <v>41</v>
      </c>
      <c r="L268" s="23">
        <v>4</v>
      </c>
      <c r="M268" s="23">
        <v>18</v>
      </c>
      <c r="N268" s="23">
        <v>19</v>
      </c>
      <c r="O268" s="25">
        <f>P268+Q268+R268</f>
        <v>35</v>
      </c>
      <c r="P268" s="23">
        <v>1</v>
      </c>
      <c r="Q268" s="23">
        <v>15</v>
      </c>
      <c r="R268" s="23">
        <v>19</v>
      </c>
      <c r="S268" s="99"/>
      <c r="T268" s="2"/>
      <c r="U268" s="12"/>
      <c r="V268" s="2"/>
      <c r="W268" s="2"/>
      <c r="X268" s="2"/>
      <c r="AN268" s="1"/>
      <c r="AO268" s="7"/>
    </row>
    <row r="269" spans="1:41" x14ac:dyDescent="0.15">
      <c r="D269" s="191"/>
      <c r="E269" s="192"/>
      <c r="F269" s="193"/>
      <c r="G269" s="40">
        <f>ROUND(G268/(G$264+G$266+G$268+G$270+G$272+G$274),3)</f>
        <v>4.7E-2</v>
      </c>
      <c r="H269" s="41">
        <f t="shared" ref="H269" si="291">ROUND(H268/(H$264+H$266+H$268+H$270+H$272+H$274),3)</f>
        <v>3.4000000000000002E-2</v>
      </c>
      <c r="I269" s="41">
        <f t="shared" ref="I269" si="292">ROUND(I268/(I$264+I$266+I$268+I$270+I$272+I$274),3)</f>
        <v>9.7000000000000003E-2</v>
      </c>
      <c r="J269" s="42">
        <f t="shared" ref="J269" si="293">ROUND(J268/(J$264+J$266+J$268+J$270+J$272+J$274),3)</f>
        <v>2.5999999999999999E-2</v>
      </c>
      <c r="K269" s="40">
        <f>ROUND(K268/(K$264+K$266+K$268+K$270+K$272+K$274),3)</f>
        <v>5.8000000000000003E-2</v>
      </c>
      <c r="L269" s="41">
        <f t="shared" ref="L269:N269" si="294">ROUND(L268/(L$264+L$266+L$268+L$270+L$272+L$274),3)</f>
        <v>5.2999999999999999E-2</v>
      </c>
      <c r="M269" s="41">
        <f t="shared" si="294"/>
        <v>8.3000000000000004E-2</v>
      </c>
      <c r="N269" s="41">
        <f t="shared" si="294"/>
        <v>4.5999999999999999E-2</v>
      </c>
      <c r="O269" s="43">
        <f>ROUND(O268/(O$264+O$266+O$268+O$270+O$272+O$274+O$276),3)</f>
        <v>4.3999999999999997E-2</v>
      </c>
      <c r="P269" s="41">
        <f t="shared" ref="P269" si="295">ROUND(P268/(P$264+P$266+P$268+P$270+P$272+P$274+P$276),3)</f>
        <v>1.4999999999999999E-2</v>
      </c>
      <c r="Q269" s="41">
        <f>ROUND(Q268/(Q$264+Q$266+Q$268+Q$270+Q$272+Q$274+Q$276),3)</f>
        <v>5.8999999999999997E-2</v>
      </c>
      <c r="R269" s="41">
        <f t="shared" ref="R269" si="296">ROUND(R268/(R$264+R$266+R$268+R$270+R$272+R$274+R$276),3)</f>
        <v>4.1000000000000002E-2</v>
      </c>
      <c r="S269" s="57"/>
      <c r="T269" s="38"/>
      <c r="U269" s="12"/>
      <c r="V269" s="38"/>
      <c r="W269" s="2"/>
      <c r="X269" s="2"/>
      <c r="AN269" s="1"/>
      <c r="AO269" s="7"/>
    </row>
    <row r="270" spans="1:41" x14ac:dyDescent="0.15">
      <c r="D270" s="188" t="s">
        <v>0</v>
      </c>
      <c r="E270" s="189"/>
      <c r="F270" s="190"/>
      <c r="G270" s="22">
        <f>H270+I270+J270</f>
        <v>25</v>
      </c>
      <c r="H270" s="23">
        <v>7</v>
      </c>
      <c r="I270" s="23">
        <v>11</v>
      </c>
      <c r="J270" s="24">
        <v>7</v>
      </c>
      <c r="K270" s="22">
        <f>L270+M270+N270</f>
        <v>25</v>
      </c>
      <c r="L270" s="23">
        <v>9</v>
      </c>
      <c r="M270" s="23">
        <v>9</v>
      </c>
      <c r="N270" s="23">
        <v>7</v>
      </c>
      <c r="O270" s="25">
        <f>P270+Q270+R270</f>
        <v>25</v>
      </c>
      <c r="P270" s="23">
        <v>7</v>
      </c>
      <c r="Q270" s="23">
        <v>11</v>
      </c>
      <c r="R270" s="23">
        <v>7</v>
      </c>
      <c r="S270" s="99"/>
      <c r="T270" s="2"/>
      <c r="U270" s="12"/>
      <c r="V270" s="2"/>
      <c r="W270" s="2"/>
      <c r="X270" s="2"/>
      <c r="AN270" s="1"/>
      <c r="AO270" s="7"/>
    </row>
    <row r="271" spans="1:41" x14ac:dyDescent="0.15">
      <c r="D271" s="191"/>
      <c r="E271" s="192"/>
      <c r="F271" s="193"/>
      <c r="G271" s="40">
        <f>ROUND(G270/(G$264+G$266+G$268+G$270+G$272+G$274),3)</f>
        <v>3.7999999999999999E-2</v>
      </c>
      <c r="H271" s="41">
        <f t="shared" ref="H271" si="297">ROUND(H270/(H$264+H$266+H$268+H$270+H$272+H$274),3)</f>
        <v>0.11899999999999999</v>
      </c>
      <c r="I271" s="41">
        <f t="shared" ref="I271" si="298">ROUND(I270/(I$264+I$266+I$268+I$270+I$272+I$274),3)</f>
        <v>5.8999999999999997E-2</v>
      </c>
      <c r="J271" s="42">
        <f t="shared" ref="J271" si="299">ROUND(J270/(J$264+J$266+J$268+J$270+J$272+J$274),3)</f>
        <v>1.7000000000000001E-2</v>
      </c>
      <c r="K271" s="40">
        <f>ROUND(K270/(K$264+K$266+K$268+K$270+K$272+K$274),3)</f>
        <v>3.5000000000000003E-2</v>
      </c>
      <c r="L271" s="41">
        <f t="shared" ref="L271:N271" si="300">ROUND(L270/(L$264+L$266+L$268+L$270+L$272+L$274),3)</f>
        <v>0.11799999999999999</v>
      </c>
      <c r="M271" s="41">
        <f t="shared" si="300"/>
        <v>4.1000000000000002E-2</v>
      </c>
      <c r="N271" s="41">
        <f t="shared" si="300"/>
        <v>1.7000000000000001E-2</v>
      </c>
      <c r="O271" s="43">
        <f>ROUND(O270/(O$264+O$266+O$268+O$270+O$272+O$274+O$276),3)</f>
        <v>3.2000000000000001E-2</v>
      </c>
      <c r="P271" s="41">
        <f t="shared" ref="P271" si="301">ROUND(P270/(P$264+P$266+P$268+P$270+P$272+P$274+P$276),3)</f>
        <v>0.106</v>
      </c>
      <c r="Q271" s="41">
        <f t="shared" ref="Q271" si="302">ROUND(Q270/(Q$264+Q$266+Q$268+Q$270+Q$272+Q$274+Q$276),3)</f>
        <v>4.2999999999999997E-2</v>
      </c>
      <c r="R271" s="41">
        <f t="shared" ref="R271" si="303">ROUND(R270/(R$264+R$266+R$268+R$270+R$272+R$274+R$276),3)</f>
        <v>1.4999999999999999E-2</v>
      </c>
      <c r="S271" s="57"/>
      <c r="T271" s="38"/>
      <c r="U271" s="12"/>
      <c r="V271" s="38"/>
      <c r="W271" s="2"/>
      <c r="X271" s="2"/>
      <c r="AN271" s="1"/>
      <c r="AO271" s="7"/>
    </row>
    <row r="272" spans="1:41" x14ac:dyDescent="0.15">
      <c r="D272" s="209" t="s">
        <v>89</v>
      </c>
      <c r="E272" s="189"/>
      <c r="F272" s="190"/>
      <c r="G272" s="22">
        <f>H272+I272+J272</f>
        <v>21</v>
      </c>
      <c r="H272" s="23">
        <v>6</v>
      </c>
      <c r="I272" s="23">
        <v>1</v>
      </c>
      <c r="J272" s="24">
        <v>14</v>
      </c>
      <c r="K272" s="22">
        <f>L272+M272+N272</f>
        <v>17</v>
      </c>
      <c r="L272" s="23">
        <v>9</v>
      </c>
      <c r="M272" s="23">
        <v>1</v>
      </c>
      <c r="N272" s="23">
        <v>7</v>
      </c>
      <c r="O272" s="25">
        <f>P272+Q272+R272</f>
        <v>15</v>
      </c>
      <c r="P272" s="23">
        <v>5</v>
      </c>
      <c r="Q272" s="23">
        <v>2</v>
      </c>
      <c r="R272" s="23">
        <v>8</v>
      </c>
      <c r="S272" s="99"/>
      <c r="T272" s="2"/>
      <c r="U272" s="12"/>
      <c r="V272" s="2"/>
      <c r="W272" s="2"/>
      <c r="X272" s="2"/>
      <c r="AN272" s="1"/>
      <c r="AO272" s="7"/>
    </row>
    <row r="273" spans="4:41" x14ac:dyDescent="0.15">
      <c r="D273" s="191"/>
      <c r="E273" s="192"/>
      <c r="F273" s="193"/>
      <c r="G273" s="40">
        <f>ROUND(G272/(G$264+G$266+G$268+G$270+G$272+G$274),3)</f>
        <v>3.2000000000000001E-2</v>
      </c>
      <c r="H273" s="41">
        <f t="shared" ref="H273" si="304">ROUND(H272/(H$264+H$266+H$268+H$270+H$272+H$274),3)</f>
        <v>0.10199999999999999</v>
      </c>
      <c r="I273" s="41">
        <f t="shared" ref="I273" si="305">ROUND(I272/(I$264+I$266+I$268+I$270+I$272+I$274),3)</f>
        <v>5.0000000000000001E-3</v>
      </c>
      <c r="J273" s="42">
        <f t="shared" ref="J273" si="306">ROUND(J272/(J$264+J$266+J$268+J$270+J$272+J$274),3)</f>
        <v>3.3000000000000002E-2</v>
      </c>
      <c r="K273" s="40">
        <f>ROUND(K272/(K$264+K$266+K$268+K$270+K$272+K$274),3)</f>
        <v>2.4E-2</v>
      </c>
      <c r="L273" s="41">
        <f t="shared" ref="L273:N273" si="307">ROUND(L272/(L$264+L$266+L$268+L$270+L$272+L$274),3)</f>
        <v>0.11799999999999999</v>
      </c>
      <c r="M273" s="41">
        <f t="shared" si="307"/>
        <v>5.0000000000000001E-3</v>
      </c>
      <c r="N273" s="41">
        <f t="shared" si="307"/>
        <v>1.7000000000000001E-2</v>
      </c>
      <c r="O273" s="43">
        <f>ROUND(O272/(O$264+O$266+O$268+O$270+O$272+O$274+O$276),3)</f>
        <v>1.9E-2</v>
      </c>
      <c r="P273" s="41">
        <f t="shared" ref="P273" si="308">ROUND(P272/(P$264+P$266+P$268+P$270+P$272+P$274+P$276),3)</f>
        <v>7.5999999999999998E-2</v>
      </c>
      <c r="Q273" s="41">
        <f t="shared" ref="Q273" si="309">ROUND(Q272/(Q$264+Q$266+Q$268+Q$270+Q$272+Q$274+Q$276),3)</f>
        <v>8.0000000000000002E-3</v>
      </c>
      <c r="R273" s="41">
        <f t="shared" ref="R273" si="310">ROUND(R272/(R$264+R$266+R$268+R$270+R$272+R$274+R$276),3)</f>
        <v>1.7000000000000001E-2</v>
      </c>
      <c r="S273" s="57"/>
      <c r="T273" s="38"/>
      <c r="U273" s="12"/>
      <c r="V273" s="38"/>
      <c r="W273" s="2"/>
      <c r="X273" s="2"/>
      <c r="AN273" s="1"/>
      <c r="AO273" s="7"/>
    </row>
    <row r="274" spans="4:41" x14ac:dyDescent="0.15">
      <c r="D274" s="188" t="s">
        <v>88</v>
      </c>
      <c r="E274" s="189"/>
      <c r="F274" s="190"/>
      <c r="G274" s="22">
        <f>H274+I274+J274</f>
        <v>31</v>
      </c>
      <c r="H274" s="23">
        <v>9</v>
      </c>
      <c r="I274" s="23">
        <v>4</v>
      </c>
      <c r="J274" s="24">
        <v>18</v>
      </c>
      <c r="K274" s="22">
        <f>L274+M274+N274</f>
        <v>42</v>
      </c>
      <c r="L274" s="23">
        <v>15</v>
      </c>
      <c r="M274" s="23">
        <v>8</v>
      </c>
      <c r="N274" s="23">
        <v>19</v>
      </c>
      <c r="O274" s="25">
        <f>P274+Q274+R274</f>
        <v>35</v>
      </c>
      <c r="P274" s="23">
        <v>6</v>
      </c>
      <c r="Q274" s="23">
        <v>9</v>
      </c>
      <c r="R274" s="23">
        <v>20</v>
      </c>
      <c r="S274" s="99"/>
      <c r="T274" s="2"/>
      <c r="U274" s="12"/>
      <c r="V274" s="2"/>
      <c r="W274" s="2"/>
      <c r="X274" s="2"/>
      <c r="AN274" s="1"/>
      <c r="AO274" s="7"/>
    </row>
    <row r="275" spans="4:41" x14ac:dyDescent="0.15">
      <c r="D275" s="191"/>
      <c r="E275" s="192"/>
      <c r="F275" s="193"/>
      <c r="G275" s="40">
        <f>ROUND(G274/(G$264+G$266+G$268+G$270+G$272+G$274),3)</f>
        <v>4.7E-2</v>
      </c>
      <c r="H275" s="41">
        <f t="shared" ref="H275" si="311">ROUND(H274/(H$264+H$266+H$268+H$270+H$272+H$274),3)</f>
        <v>0.153</v>
      </c>
      <c r="I275" s="41">
        <f t="shared" ref="I275" si="312">ROUND(I274/(I$264+I$266+I$268+I$270+I$272+I$274),3)</f>
        <v>2.1999999999999999E-2</v>
      </c>
      <c r="J275" s="42">
        <f t="shared" ref="J275" si="313">ROUND(J274/(J$264+J$266+J$268+J$270+J$272+J$274),3)</f>
        <v>4.2999999999999997E-2</v>
      </c>
      <c r="K275" s="40">
        <f>ROUND(K274/(K$264+K$266+K$268+K$270+K$272+K$274),3)</f>
        <v>5.8999999999999997E-2</v>
      </c>
      <c r="L275" s="41">
        <f t="shared" ref="L275:N275" si="314">ROUND(L274/(L$264+L$266+L$268+L$270+L$272+L$274),3)</f>
        <v>0.19700000000000001</v>
      </c>
      <c r="M275" s="41">
        <f t="shared" si="314"/>
        <v>3.6999999999999998E-2</v>
      </c>
      <c r="N275" s="41">
        <f t="shared" si="314"/>
        <v>4.5999999999999999E-2</v>
      </c>
      <c r="O275" s="43">
        <f>ROUND(O274/(O$264+O$266+O$268+O$270+O$272+O$274+O$276),3)</f>
        <v>4.3999999999999997E-2</v>
      </c>
      <c r="P275" s="41">
        <f t="shared" ref="P275" si="315">ROUND(P274/(P$264+P$266+P$268+P$270+P$272+P$274+P$276),3)</f>
        <v>9.0999999999999998E-2</v>
      </c>
      <c r="Q275" s="41">
        <f t="shared" ref="Q275" si="316">ROUND(Q274/(Q$264+Q$266+Q$268+Q$270+Q$272+Q$274+Q$276),3)</f>
        <v>3.5000000000000003E-2</v>
      </c>
      <c r="R275" s="41">
        <f t="shared" ref="R275" si="317">ROUND(R274/(R$264+R$266+R$268+R$270+R$272+R$274+R$276),3)</f>
        <v>4.2999999999999997E-2</v>
      </c>
      <c r="S275" s="57"/>
      <c r="T275" s="38"/>
      <c r="U275" s="12"/>
      <c r="V275" s="38"/>
      <c r="W275" s="2"/>
      <c r="X275" s="2"/>
      <c r="AN275" s="1"/>
      <c r="AO275" s="7"/>
    </row>
    <row r="276" spans="4:41" x14ac:dyDescent="0.15">
      <c r="D276" s="188" t="s">
        <v>19</v>
      </c>
      <c r="E276" s="189"/>
      <c r="F276" s="190"/>
      <c r="G276" s="182" t="s">
        <v>7</v>
      </c>
      <c r="H276" s="176" t="s">
        <v>7</v>
      </c>
      <c r="I276" s="176" t="s">
        <v>7</v>
      </c>
      <c r="J276" s="176" t="s">
        <v>7</v>
      </c>
      <c r="K276" s="182" t="s">
        <v>7</v>
      </c>
      <c r="L276" s="176" t="s">
        <v>7</v>
      </c>
      <c r="M276" s="176" t="s">
        <v>7</v>
      </c>
      <c r="N276" s="176" t="s">
        <v>7</v>
      </c>
      <c r="O276" s="25">
        <f>P276+Q276+R276</f>
        <v>12</v>
      </c>
      <c r="P276" s="23">
        <v>2</v>
      </c>
      <c r="Q276" s="23">
        <v>4</v>
      </c>
      <c r="R276" s="23">
        <v>6</v>
      </c>
      <c r="S276" s="99"/>
      <c r="T276" s="2"/>
      <c r="U276" s="12"/>
      <c r="V276" s="2"/>
      <c r="W276" s="2"/>
      <c r="X276" s="2"/>
      <c r="AN276" s="1"/>
      <c r="AO276" s="7"/>
    </row>
    <row r="277" spans="4:41" x14ac:dyDescent="0.15">
      <c r="D277" s="191"/>
      <c r="E277" s="192"/>
      <c r="F277" s="193"/>
      <c r="G277" s="183"/>
      <c r="H277" s="177"/>
      <c r="I277" s="177"/>
      <c r="J277" s="177"/>
      <c r="K277" s="183"/>
      <c r="L277" s="177"/>
      <c r="M277" s="177"/>
      <c r="N277" s="177"/>
      <c r="O277" s="43">
        <f>ROUND(O276/(O$264+O$266+O$268+O$270+O$272+O$274+O$276),3)</f>
        <v>1.4999999999999999E-2</v>
      </c>
      <c r="P277" s="41">
        <f t="shared" ref="P277" si="318">ROUND(P276/(P$264+P$266+P$268+P$270+P$272+P$274+P$276),3)</f>
        <v>0.03</v>
      </c>
      <c r="Q277" s="41">
        <f t="shared" ref="Q277" si="319">ROUND(Q276/(Q$264+Q$266+Q$268+Q$270+Q$272+Q$274+Q$276),3)</f>
        <v>1.6E-2</v>
      </c>
      <c r="R277" s="41">
        <f>ROUND(R276/(R$264+R$266+R$268+R$270+R$272+R$274+R$276),3)</f>
        <v>1.2999999999999999E-2</v>
      </c>
      <c r="S277" s="57"/>
      <c r="T277" s="38"/>
      <c r="U277" s="12"/>
      <c r="V277" s="38"/>
      <c r="W277" s="2"/>
      <c r="X277" s="2"/>
      <c r="AN277" s="1"/>
      <c r="AO277" s="7"/>
    </row>
    <row r="278" spans="4:41" x14ac:dyDescent="0.15">
      <c r="D278" s="203" t="s">
        <v>20</v>
      </c>
      <c r="E278" s="197"/>
      <c r="F278" s="248"/>
      <c r="G278" s="100">
        <f>G264+G266+G268+G270+G272+G274</f>
        <v>663</v>
      </c>
      <c r="H278" s="23">
        <f t="shared" ref="H278:J278" si="320">H264+H266+H268+H270+H272+H274</f>
        <v>59</v>
      </c>
      <c r="I278" s="45">
        <f t="shared" si="320"/>
        <v>186</v>
      </c>
      <c r="J278" s="24">
        <f t="shared" si="320"/>
        <v>418</v>
      </c>
      <c r="K278" s="22">
        <f>K264+K266+K268+K270+K272+K274</f>
        <v>708</v>
      </c>
      <c r="L278" s="23">
        <f t="shared" ref="L278:N279" si="321">L264+L266+L268+L270+L272+L274</f>
        <v>76</v>
      </c>
      <c r="M278" s="23">
        <f t="shared" si="321"/>
        <v>217</v>
      </c>
      <c r="N278" s="23">
        <f t="shared" si="321"/>
        <v>415</v>
      </c>
      <c r="O278" s="45">
        <f>O264+O266+O268+O270+O272+O274+O276</f>
        <v>787</v>
      </c>
      <c r="P278" s="59">
        <f t="shared" ref="P278:Q278" si="322">P264+P266+P268+P270+P272+P274+P276</f>
        <v>66</v>
      </c>
      <c r="Q278" s="66">
        <f t="shared" si="322"/>
        <v>256</v>
      </c>
      <c r="R278" s="23">
        <f>R264+R266+R268+R270+R272+R274+R276</f>
        <v>465</v>
      </c>
      <c r="S278" s="99"/>
      <c r="T278" s="2"/>
      <c r="U278" s="12"/>
      <c r="V278" s="2"/>
      <c r="W278" s="2"/>
      <c r="X278" s="2"/>
      <c r="AN278" s="1"/>
      <c r="AO278" s="7"/>
    </row>
    <row r="279" spans="4:41" ht="14.25" thickBot="1" x14ac:dyDescent="0.2">
      <c r="D279" s="210"/>
      <c r="E279" s="211"/>
      <c r="F279" s="249"/>
      <c r="G279" s="160">
        <f>G265+G267+G269+G271+G273+G275+G277</f>
        <v>1.0010000000000001</v>
      </c>
      <c r="H279" s="134">
        <f>H265+H267+H269+H271+H273+H275+H277</f>
        <v>1.002</v>
      </c>
      <c r="I279" s="161">
        <f>I265+I267+I269+I271+I273+I275+I277</f>
        <v>1</v>
      </c>
      <c r="J279" s="135">
        <f>J265+J267+J269+J271+J273+J275+J277</f>
        <v>0.99800000000000011</v>
      </c>
      <c r="K279" s="137">
        <f>K265+K267+K269+K271+K273+K275</f>
        <v>1</v>
      </c>
      <c r="L279" s="136">
        <f t="shared" si="321"/>
        <v>1</v>
      </c>
      <c r="M279" s="136">
        <f>M265+M267+M269+M271+M273+M275</f>
        <v>1</v>
      </c>
      <c r="N279" s="136">
        <f>N265+N267+N269+N271+N273+N275</f>
        <v>1</v>
      </c>
      <c r="O279" s="132">
        <f>O265+O267+O269+O271+O273+O275+O277</f>
        <v>0.99900000000000011</v>
      </c>
      <c r="P279" s="136">
        <f>P265+P267+P269+P271+P273+P275+P277</f>
        <v>0.99999999999999989</v>
      </c>
      <c r="Q279" s="132">
        <f>Q265+Q267+Q269+Q271+Q273+Q275+Q277</f>
        <v>1.0010000000000001</v>
      </c>
      <c r="R279" s="136">
        <f>R265+R267+R269+R271+R273+R275+R277</f>
        <v>1</v>
      </c>
      <c r="S279" s="139"/>
      <c r="T279" s="50"/>
      <c r="U279" s="12"/>
      <c r="V279" s="50"/>
      <c r="W279" s="34"/>
      <c r="X279" s="2"/>
      <c r="AN279" s="1"/>
      <c r="AO279" s="7"/>
    </row>
    <row r="280" spans="4:41" x14ac:dyDescent="0.15">
      <c r="D280" s="82"/>
      <c r="E280" s="129"/>
      <c r="F280" s="129"/>
      <c r="G280" s="57"/>
      <c r="H280" s="57"/>
      <c r="I280" s="57"/>
      <c r="J280" s="57"/>
      <c r="K280" s="57"/>
      <c r="L280" s="57"/>
      <c r="M280" s="57"/>
      <c r="N280" s="57"/>
      <c r="O280" s="69"/>
      <c r="P280" s="57"/>
      <c r="Q280" s="57"/>
      <c r="R280" s="57"/>
      <c r="S280" s="57"/>
      <c r="T280" s="50"/>
      <c r="U280" s="12"/>
      <c r="V280" s="50"/>
      <c r="W280" s="34"/>
      <c r="X280" s="2"/>
      <c r="AN280" s="1"/>
      <c r="AO280" s="7"/>
    </row>
    <row r="281" spans="4:41" x14ac:dyDescent="0.15">
      <c r="D281" s="82"/>
      <c r="E281" s="129"/>
      <c r="F281" s="129"/>
      <c r="G281" s="57"/>
      <c r="H281" s="57"/>
      <c r="I281" s="57"/>
      <c r="J281" s="57"/>
      <c r="K281" s="57"/>
      <c r="L281" s="57"/>
      <c r="M281" s="57"/>
      <c r="N281" s="57"/>
      <c r="O281" s="69"/>
      <c r="P281" s="57"/>
      <c r="Q281" s="57"/>
      <c r="R281" s="57"/>
      <c r="S281" s="57"/>
      <c r="T281" s="50" t="s">
        <v>85</v>
      </c>
      <c r="U281" s="12">
        <v>477</v>
      </c>
      <c r="V281" s="50"/>
      <c r="W281" s="34"/>
      <c r="X281" s="2"/>
      <c r="AN281" s="1"/>
      <c r="AO281" s="7"/>
    </row>
    <row r="282" spans="4:41" x14ac:dyDescent="0.15">
      <c r="D282" s="82"/>
      <c r="E282" s="129"/>
      <c r="F282" s="129"/>
      <c r="G282" s="57"/>
      <c r="H282" s="57"/>
      <c r="I282" s="57"/>
      <c r="J282" s="57"/>
      <c r="K282" s="57"/>
      <c r="L282" s="57"/>
      <c r="M282" s="57"/>
      <c r="N282" s="57"/>
      <c r="O282" s="69"/>
      <c r="P282" s="57"/>
      <c r="Q282" s="57"/>
      <c r="R282" s="57"/>
      <c r="S282" s="57"/>
      <c r="T282" s="50" t="s">
        <v>86</v>
      </c>
      <c r="U282" s="12">
        <v>78</v>
      </c>
      <c r="V282" s="50"/>
      <c r="W282" s="34"/>
      <c r="X282" s="2"/>
      <c r="AN282" s="1"/>
      <c r="AO282" s="7"/>
    </row>
    <row r="283" spans="4:41" x14ac:dyDescent="0.15">
      <c r="D283" s="82"/>
      <c r="E283" s="129"/>
      <c r="F283" s="129"/>
      <c r="G283" s="57"/>
      <c r="H283" s="57"/>
      <c r="I283" s="57"/>
      <c r="J283" s="57"/>
      <c r="K283" s="57"/>
      <c r="L283" s="57"/>
      <c r="M283" s="57"/>
      <c r="N283" s="57"/>
      <c r="O283" s="69"/>
      <c r="P283" s="57"/>
      <c r="Q283" s="57"/>
      <c r="R283" s="57"/>
      <c r="S283" s="57"/>
      <c r="T283" s="50" t="s">
        <v>87</v>
      </c>
      <c r="U283" s="12">
        <v>31</v>
      </c>
      <c r="V283" s="50"/>
      <c r="W283" s="34"/>
      <c r="X283" s="2"/>
      <c r="AN283" s="1"/>
      <c r="AO283" s="7"/>
    </row>
    <row r="284" spans="4:41" x14ac:dyDescent="0.15">
      <c r="D284" s="82"/>
      <c r="E284" s="129"/>
      <c r="F284" s="129"/>
      <c r="G284" s="57"/>
      <c r="H284" s="57"/>
      <c r="I284" s="57"/>
      <c r="J284" s="57"/>
      <c r="K284" s="57"/>
      <c r="L284" s="57"/>
      <c r="M284" s="57"/>
      <c r="N284" s="57"/>
      <c r="O284" s="69"/>
      <c r="P284" s="57"/>
      <c r="Q284" s="57"/>
      <c r="R284" s="57"/>
      <c r="S284" s="57"/>
      <c r="T284" s="50" t="s">
        <v>0</v>
      </c>
      <c r="U284" s="12">
        <v>25</v>
      </c>
      <c r="V284" s="50"/>
      <c r="W284" s="34"/>
      <c r="X284" s="2"/>
      <c r="AN284" s="1"/>
      <c r="AO284" s="7"/>
    </row>
    <row r="285" spans="4:41" x14ac:dyDescent="0.15">
      <c r="D285" s="82"/>
      <c r="E285" s="129"/>
      <c r="F285" s="129"/>
      <c r="G285" s="57"/>
      <c r="H285" s="57"/>
      <c r="I285" s="57"/>
      <c r="J285" s="57"/>
      <c r="K285" s="57"/>
      <c r="L285" s="57"/>
      <c r="M285" s="57"/>
      <c r="N285" s="57"/>
      <c r="O285" s="69"/>
      <c r="P285" s="57"/>
      <c r="Q285" s="57"/>
      <c r="R285" s="57"/>
      <c r="S285" s="57"/>
      <c r="T285" s="50" t="s">
        <v>89</v>
      </c>
      <c r="U285" s="12">
        <v>21</v>
      </c>
      <c r="V285" s="50"/>
      <c r="W285" s="34"/>
      <c r="X285" s="2"/>
      <c r="AN285" s="1"/>
      <c r="AO285" s="7"/>
    </row>
    <row r="286" spans="4:41" x14ac:dyDescent="0.15">
      <c r="D286" s="82"/>
      <c r="E286" s="129"/>
      <c r="F286" s="129"/>
      <c r="G286" s="57"/>
      <c r="H286" s="57"/>
      <c r="I286" s="57"/>
      <c r="J286" s="57"/>
      <c r="K286" s="57"/>
      <c r="L286" s="57"/>
      <c r="M286" s="57"/>
      <c r="N286" s="57"/>
      <c r="O286" s="69"/>
      <c r="P286" s="57"/>
      <c r="Q286" s="57"/>
      <c r="R286" s="57"/>
      <c r="S286" s="57"/>
      <c r="T286" s="50" t="s">
        <v>88</v>
      </c>
      <c r="U286" s="12">
        <v>31</v>
      </c>
      <c r="V286" s="50"/>
      <c r="W286" s="34"/>
      <c r="X286" s="2"/>
      <c r="AN286" s="1"/>
      <c r="AO286" s="7"/>
    </row>
    <row r="287" spans="4:41" x14ac:dyDescent="0.15">
      <c r="D287" s="82"/>
      <c r="E287" s="129"/>
      <c r="F287" s="129"/>
      <c r="G287" s="57"/>
      <c r="H287" s="57"/>
      <c r="I287" s="57"/>
      <c r="J287" s="57"/>
      <c r="K287" s="57"/>
      <c r="L287" s="57"/>
      <c r="M287" s="57"/>
      <c r="N287" s="57"/>
      <c r="O287" s="69"/>
      <c r="P287" s="57"/>
      <c r="Q287" s="57"/>
      <c r="R287" s="57"/>
      <c r="S287" s="57"/>
      <c r="U287" s="12"/>
      <c r="V287" s="50"/>
      <c r="W287" s="34"/>
      <c r="X287" s="2"/>
      <c r="AN287" s="1"/>
      <c r="AO287" s="7"/>
    </row>
    <row r="288" spans="4:41" x14ac:dyDescent="0.15">
      <c r="D288" s="82"/>
      <c r="E288" s="129"/>
      <c r="F288" s="129"/>
      <c r="G288" s="57"/>
      <c r="H288" s="57"/>
      <c r="I288" s="57"/>
      <c r="J288" s="57"/>
      <c r="K288" s="57"/>
      <c r="L288" s="57"/>
      <c r="M288" s="57"/>
      <c r="N288" s="57"/>
      <c r="O288" s="69"/>
      <c r="P288" s="57"/>
      <c r="Q288" s="57"/>
      <c r="R288" s="57"/>
      <c r="S288" s="57"/>
      <c r="T288" s="50"/>
      <c r="U288" s="12"/>
      <c r="V288" s="50"/>
      <c r="W288" s="34"/>
      <c r="X288" s="2"/>
      <c r="AN288" s="1"/>
      <c r="AO288" s="7"/>
    </row>
    <row r="289" spans="2:41" x14ac:dyDescent="0.15">
      <c r="D289" s="82"/>
      <c r="E289" s="129"/>
      <c r="F289" s="129"/>
      <c r="G289" s="57"/>
      <c r="H289" s="57"/>
      <c r="I289" s="57"/>
      <c r="J289" s="57"/>
      <c r="K289" s="57"/>
      <c r="L289" s="57"/>
      <c r="M289" s="57"/>
      <c r="N289" s="57"/>
      <c r="O289" s="69"/>
      <c r="P289" s="57"/>
      <c r="Q289" s="57"/>
      <c r="R289" s="57"/>
      <c r="S289" s="57"/>
      <c r="U289" s="12"/>
      <c r="V289" s="50"/>
      <c r="W289" s="34"/>
      <c r="X289" s="2"/>
      <c r="AN289" s="1"/>
      <c r="AO289" s="7"/>
    </row>
    <row r="290" spans="2:41" x14ac:dyDescent="0.15">
      <c r="D290" s="82"/>
      <c r="E290" s="129"/>
      <c r="F290" s="129"/>
      <c r="G290" s="57"/>
      <c r="H290" s="57"/>
      <c r="I290" s="57"/>
      <c r="J290" s="57"/>
      <c r="K290" s="57"/>
      <c r="L290" s="57"/>
      <c r="M290" s="57"/>
      <c r="N290" s="57"/>
      <c r="O290" s="69"/>
      <c r="P290" s="57"/>
      <c r="Q290" s="57"/>
      <c r="R290" s="57"/>
      <c r="S290" s="57"/>
      <c r="T290" s="50"/>
      <c r="U290" s="12"/>
      <c r="V290" s="50"/>
      <c r="W290" s="34"/>
      <c r="X290" s="2"/>
      <c r="AN290" s="1"/>
      <c r="AO290" s="7"/>
    </row>
    <row r="291" spans="2:41" x14ac:dyDescent="0.15">
      <c r="D291" s="82"/>
      <c r="E291" s="129"/>
      <c r="F291" s="129"/>
      <c r="G291" s="57"/>
      <c r="H291" s="57"/>
      <c r="I291" s="57"/>
      <c r="J291" s="57"/>
      <c r="K291" s="57"/>
      <c r="L291" s="57"/>
      <c r="M291" s="57"/>
      <c r="N291" s="57"/>
      <c r="O291" s="69"/>
      <c r="P291" s="57"/>
      <c r="Q291" s="57"/>
      <c r="R291" s="57"/>
      <c r="S291" s="57"/>
      <c r="U291" s="12"/>
      <c r="V291" s="50"/>
      <c r="W291" s="34"/>
      <c r="X291" s="2"/>
      <c r="AN291" s="1"/>
      <c r="AO291" s="7"/>
    </row>
    <row r="292" spans="2:41" x14ac:dyDescent="0.15">
      <c r="D292" s="82"/>
      <c r="E292" s="129"/>
      <c r="F292" s="129"/>
      <c r="G292" s="57"/>
      <c r="H292" s="57"/>
      <c r="I292" s="57"/>
      <c r="J292" s="57"/>
      <c r="K292" s="57"/>
      <c r="L292" s="57"/>
      <c r="M292" s="57"/>
      <c r="N292" s="57"/>
      <c r="O292" s="69"/>
      <c r="P292" s="57"/>
      <c r="Q292" s="57"/>
      <c r="R292" s="57"/>
      <c r="S292" s="57"/>
      <c r="T292" s="50"/>
      <c r="U292" s="12"/>
      <c r="V292" s="50"/>
      <c r="W292" s="34"/>
      <c r="X292" s="2"/>
      <c r="AN292" s="1"/>
      <c r="AO292" s="7"/>
    </row>
    <row r="293" spans="2:41" x14ac:dyDescent="0.15">
      <c r="D293" s="82"/>
      <c r="E293" s="129"/>
      <c r="F293" s="129"/>
      <c r="G293" s="57"/>
      <c r="H293" s="57"/>
      <c r="I293" s="57"/>
      <c r="J293" s="57"/>
      <c r="K293" s="57"/>
      <c r="L293" s="57"/>
      <c r="M293" s="57"/>
      <c r="N293" s="57"/>
      <c r="O293" s="69"/>
      <c r="P293" s="57"/>
      <c r="Q293" s="57"/>
      <c r="R293" s="57"/>
      <c r="S293" s="57"/>
      <c r="T293" s="50"/>
      <c r="U293" s="12"/>
      <c r="V293" s="50"/>
      <c r="W293" s="34"/>
      <c r="X293" s="2"/>
      <c r="AN293" s="1"/>
      <c r="AO293" s="7"/>
    </row>
    <row r="294" spans="2:41" x14ac:dyDescent="0.15">
      <c r="D294" s="82"/>
      <c r="E294" s="129"/>
      <c r="F294" s="129"/>
      <c r="G294" s="57"/>
      <c r="H294" s="57"/>
      <c r="I294" s="57"/>
      <c r="J294" s="57"/>
      <c r="K294" s="57"/>
      <c r="L294" s="57"/>
      <c r="M294" s="57"/>
      <c r="N294" s="57"/>
      <c r="O294" s="69"/>
      <c r="P294" s="57"/>
      <c r="Q294" s="57"/>
      <c r="R294" s="57"/>
      <c r="S294" s="57"/>
      <c r="T294" s="50"/>
      <c r="U294" s="12"/>
      <c r="V294" s="50"/>
      <c r="W294" s="34"/>
      <c r="X294" s="2"/>
      <c r="AN294" s="1"/>
      <c r="AO294" s="7"/>
    </row>
    <row r="295" spans="2:41" x14ac:dyDescent="0.15">
      <c r="D295" s="82"/>
      <c r="E295" s="129"/>
      <c r="F295" s="129"/>
      <c r="G295" s="57"/>
      <c r="H295" s="57"/>
      <c r="I295" s="57"/>
      <c r="J295" s="57"/>
      <c r="K295" s="57"/>
      <c r="L295" s="57"/>
      <c r="M295" s="57"/>
      <c r="N295" s="57"/>
      <c r="O295" s="69"/>
      <c r="P295" s="57"/>
      <c r="Q295" s="57"/>
      <c r="R295" s="57"/>
      <c r="S295" s="57"/>
      <c r="T295" s="50"/>
      <c r="U295" s="12"/>
      <c r="V295" s="50"/>
      <c r="W295" s="34"/>
      <c r="X295" s="2"/>
      <c r="AN295" s="1"/>
      <c r="AO295" s="7"/>
    </row>
    <row r="296" spans="2:41" x14ac:dyDescent="0.15">
      <c r="D296" s="82"/>
      <c r="E296" s="129"/>
      <c r="F296" s="129"/>
      <c r="G296" s="57"/>
      <c r="H296" s="57"/>
      <c r="I296" s="57"/>
      <c r="J296" s="57"/>
      <c r="K296" s="57"/>
      <c r="L296" s="57"/>
      <c r="M296" s="57"/>
      <c r="N296" s="57"/>
      <c r="O296" s="69"/>
      <c r="P296" s="57"/>
      <c r="Q296" s="57"/>
      <c r="R296" s="57"/>
      <c r="S296" s="57"/>
      <c r="T296" s="50"/>
      <c r="U296" s="12"/>
      <c r="V296" s="50"/>
      <c r="W296" s="34"/>
      <c r="X296" s="2"/>
      <c r="AN296" s="1"/>
      <c r="AO296" s="7"/>
    </row>
    <row r="297" spans="2:41" x14ac:dyDescent="0.15">
      <c r="D297" s="82"/>
      <c r="E297" s="129"/>
      <c r="F297" s="129"/>
      <c r="G297" s="57"/>
      <c r="H297" s="57"/>
      <c r="I297" s="57"/>
      <c r="J297" s="57"/>
      <c r="K297" s="57"/>
      <c r="L297" s="57"/>
      <c r="M297" s="57"/>
      <c r="N297" s="57"/>
      <c r="O297" s="69"/>
      <c r="P297" s="57"/>
      <c r="Q297" s="57"/>
      <c r="R297" s="57"/>
      <c r="S297" s="57"/>
      <c r="T297" s="50"/>
      <c r="U297" s="12"/>
      <c r="V297" s="50"/>
      <c r="W297" s="34"/>
      <c r="X297" s="2"/>
      <c r="AN297" s="1"/>
      <c r="AO297" s="7"/>
    </row>
    <row r="298" spans="2:41" x14ac:dyDescent="0.15">
      <c r="D298" s="82"/>
      <c r="E298" s="129"/>
      <c r="F298" s="129"/>
      <c r="G298" s="57"/>
      <c r="H298" s="57"/>
      <c r="I298" s="57"/>
      <c r="J298" s="57"/>
      <c r="K298" s="57"/>
      <c r="L298" s="57"/>
      <c r="M298" s="57"/>
      <c r="N298" s="57"/>
      <c r="O298" s="69"/>
      <c r="P298" s="57"/>
      <c r="Q298" s="57"/>
      <c r="R298" s="57"/>
      <c r="S298" s="57"/>
      <c r="T298" s="50"/>
      <c r="U298" s="12"/>
      <c r="V298" s="50"/>
      <c r="W298" s="34"/>
      <c r="X298" s="2"/>
      <c r="AN298" s="1"/>
      <c r="AO298" s="7"/>
    </row>
    <row r="299" spans="2:41" x14ac:dyDescent="0.15">
      <c r="D299" s="82"/>
      <c r="E299" s="129"/>
      <c r="F299" s="129"/>
      <c r="G299" s="57"/>
      <c r="H299" s="57"/>
      <c r="I299" s="57"/>
      <c r="J299" s="57"/>
      <c r="K299" s="57"/>
      <c r="L299" s="57"/>
      <c r="M299" s="57"/>
      <c r="N299" s="57"/>
      <c r="O299" s="69"/>
      <c r="P299" s="57"/>
      <c r="Q299" s="57"/>
      <c r="R299" s="57"/>
      <c r="S299" s="57"/>
      <c r="T299" s="50"/>
      <c r="U299" s="12"/>
      <c r="V299" s="50"/>
      <c r="W299" s="34"/>
      <c r="X299" s="2"/>
      <c r="AN299" s="1"/>
      <c r="AO299" s="7"/>
    </row>
    <row r="300" spans="2:41" x14ac:dyDescent="0.15">
      <c r="D300" s="82"/>
      <c r="E300" s="129"/>
      <c r="F300" s="129"/>
      <c r="G300" s="57"/>
      <c r="H300" s="57"/>
      <c r="I300" s="57"/>
      <c r="J300" s="57"/>
      <c r="K300" s="57"/>
      <c r="L300" s="57"/>
      <c r="M300" s="57"/>
      <c r="N300" s="57"/>
      <c r="O300" s="69"/>
      <c r="P300" s="57"/>
      <c r="Q300" s="57"/>
      <c r="R300" s="57"/>
      <c r="S300" s="57"/>
      <c r="T300" s="50"/>
      <c r="U300" s="12"/>
      <c r="V300" s="50"/>
      <c r="W300" s="34"/>
      <c r="X300" s="2"/>
      <c r="AN300" s="1"/>
      <c r="AO300" s="7"/>
    </row>
    <row r="301" spans="2:41" x14ac:dyDescent="0.15">
      <c r="D301" s="82"/>
      <c r="E301" s="129"/>
      <c r="F301" s="129"/>
      <c r="G301" s="57"/>
      <c r="H301" s="57"/>
      <c r="I301" s="57"/>
      <c r="J301" s="57"/>
      <c r="K301" s="57"/>
      <c r="L301" s="57"/>
      <c r="M301" s="57"/>
      <c r="N301" s="57"/>
      <c r="O301" s="69"/>
      <c r="P301" s="57"/>
      <c r="Q301" s="57"/>
      <c r="R301" s="57"/>
      <c r="S301" s="57"/>
      <c r="T301" s="50"/>
      <c r="U301" s="12"/>
      <c r="V301" s="50"/>
      <c r="W301" s="34"/>
      <c r="X301" s="2"/>
      <c r="AN301" s="1"/>
      <c r="AO301" s="7"/>
    </row>
    <row r="302" spans="2:41" ht="14.25" thickBot="1" x14ac:dyDescent="0.2">
      <c r="B302" s="3" t="s">
        <v>206</v>
      </c>
      <c r="D302" s="82"/>
      <c r="E302" s="129"/>
      <c r="F302" s="129"/>
      <c r="G302" s="57"/>
      <c r="H302" s="57"/>
      <c r="I302" s="57"/>
      <c r="J302" s="57"/>
      <c r="K302" s="57"/>
      <c r="L302" s="57"/>
      <c r="M302" s="57"/>
      <c r="N302" s="57"/>
      <c r="O302" s="69"/>
      <c r="P302" s="57"/>
      <c r="Q302" s="57"/>
      <c r="R302" s="57"/>
      <c r="S302" s="57"/>
      <c r="T302" s="50"/>
      <c r="U302" s="12"/>
      <c r="V302" s="50"/>
      <c r="W302" s="34"/>
      <c r="X302" s="2"/>
      <c r="AN302" s="1"/>
      <c r="AO302" s="7"/>
    </row>
    <row r="303" spans="2:41" ht="12.95" customHeight="1" x14ac:dyDescent="0.15">
      <c r="D303" s="70"/>
      <c r="E303" s="71"/>
      <c r="F303" s="184" t="s">
        <v>265</v>
      </c>
      <c r="G303" s="185"/>
      <c r="H303" s="185"/>
      <c r="I303" s="186"/>
      <c r="J303" s="182" t="s">
        <v>60</v>
      </c>
      <c r="K303" s="187"/>
      <c r="L303" s="187"/>
      <c r="M303" s="187"/>
      <c r="N303" s="1"/>
      <c r="O303" s="1"/>
      <c r="P303" s="1"/>
      <c r="Q303" s="1"/>
      <c r="R303" s="1"/>
      <c r="S303" s="1"/>
      <c r="AF303" s="7"/>
      <c r="AN303" s="1"/>
    </row>
    <row r="304" spans="2:41" ht="12.95" customHeight="1" x14ac:dyDescent="0.15">
      <c r="D304" s="72"/>
      <c r="E304" s="126"/>
      <c r="F304" s="124"/>
      <c r="G304" s="128" t="s">
        <v>11</v>
      </c>
      <c r="H304" s="128" t="s">
        <v>12</v>
      </c>
      <c r="I304" s="39" t="s">
        <v>13</v>
      </c>
      <c r="J304" s="124"/>
      <c r="K304" s="128" t="s">
        <v>11</v>
      </c>
      <c r="L304" s="128" t="s">
        <v>12</v>
      </c>
      <c r="M304" s="128" t="s">
        <v>13</v>
      </c>
      <c r="N304" s="1"/>
      <c r="O304" s="1"/>
      <c r="P304" s="1"/>
      <c r="Q304" s="1"/>
      <c r="R304" s="1"/>
      <c r="S304" s="1"/>
      <c r="AF304" s="7"/>
      <c r="AN304" s="1"/>
    </row>
    <row r="305" spans="2:41" ht="12.95" customHeight="1" x14ac:dyDescent="0.15">
      <c r="D305" s="209" t="s">
        <v>180</v>
      </c>
      <c r="E305" s="189"/>
      <c r="F305" s="22">
        <f>G305+H305+I305</f>
        <v>248</v>
      </c>
      <c r="G305" s="23">
        <v>45</v>
      </c>
      <c r="H305" s="23">
        <v>67</v>
      </c>
      <c r="I305" s="24">
        <v>136</v>
      </c>
      <c r="J305" s="22">
        <f>K305+L305+M305</f>
        <v>319</v>
      </c>
      <c r="K305" s="23">
        <v>65</v>
      </c>
      <c r="L305" s="23">
        <v>83</v>
      </c>
      <c r="M305" s="23">
        <v>171</v>
      </c>
      <c r="N305" s="1"/>
      <c r="O305" s="1"/>
      <c r="P305" s="1"/>
      <c r="Q305" s="1"/>
      <c r="R305" s="1"/>
      <c r="S305" s="1"/>
      <c r="T305" s="1" t="s">
        <v>180</v>
      </c>
      <c r="U305" s="6">
        <v>248</v>
      </c>
      <c r="AF305" s="7"/>
      <c r="AN305" s="1"/>
    </row>
    <row r="306" spans="2:41" ht="12.95" customHeight="1" x14ac:dyDescent="0.15">
      <c r="D306" s="191"/>
      <c r="E306" s="192"/>
      <c r="F306" s="40">
        <f>ROUND(F305/(F$305+F$307+F$309),3)</f>
        <v>0.37</v>
      </c>
      <c r="G306" s="41">
        <f>ROUND(G305/(G$305+G$307+G$309),3)</f>
        <v>0.73799999999999999</v>
      </c>
      <c r="H306" s="41">
        <f t="shared" ref="H306" si="323">ROUND(H305/(H$305+H$307+H$309),3)</f>
        <v>0.36</v>
      </c>
      <c r="I306" s="42">
        <f>ROUND(I305/(I$305+I$307+I$309),3)</f>
        <v>0.32200000000000001</v>
      </c>
      <c r="J306" s="40">
        <f>ROUND(J305/(J$305+J$307+J$309),3)</f>
        <v>0.46200000000000002</v>
      </c>
      <c r="K306" s="41">
        <f>ROUND(K305/(K$305+K$307+K$309),3)-0.001</f>
        <v>0.86599999999999999</v>
      </c>
      <c r="L306" s="41">
        <f t="shared" ref="L306" si="324">ROUND(L305/(L$305+L$307+L$309),3)</f>
        <v>0.38400000000000001</v>
      </c>
      <c r="M306" s="41">
        <f>ROUND(M305/(M$305+M$307+M$309),3)-0.001</f>
        <v>0.42699999999999999</v>
      </c>
      <c r="N306" s="1"/>
      <c r="O306" s="1"/>
      <c r="P306" s="1"/>
      <c r="Q306" s="1"/>
      <c r="R306" s="1"/>
      <c r="S306" s="1"/>
      <c r="T306" s="1" t="s">
        <v>181</v>
      </c>
      <c r="U306" s="6">
        <v>353</v>
      </c>
      <c r="AF306" s="7"/>
      <c r="AN306" s="1"/>
    </row>
    <row r="307" spans="2:41" ht="12.95" customHeight="1" x14ac:dyDescent="0.15">
      <c r="D307" s="209" t="s">
        <v>246</v>
      </c>
      <c r="E307" s="189"/>
      <c r="F307" s="22">
        <f>G307+H307+I307</f>
        <v>353</v>
      </c>
      <c r="G307" s="23">
        <v>13</v>
      </c>
      <c r="H307" s="23">
        <v>102</v>
      </c>
      <c r="I307" s="24">
        <v>238</v>
      </c>
      <c r="J307" s="22">
        <f>K307+L307+M307</f>
        <v>326</v>
      </c>
      <c r="K307" s="23">
        <v>8</v>
      </c>
      <c r="L307" s="23">
        <v>111</v>
      </c>
      <c r="M307" s="23">
        <v>207</v>
      </c>
      <c r="N307" s="1"/>
      <c r="O307" s="1"/>
      <c r="P307" s="1"/>
      <c r="Q307" s="1"/>
      <c r="R307" s="1"/>
      <c r="S307" s="1"/>
      <c r="T307" s="1" t="s">
        <v>88</v>
      </c>
      <c r="U307" s="6">
        <v>69</v>
      </c>
      <c r="AF307" s="7"/>
      <c r="AN307" s="1"/>
    </row>
    <row r="308" spans="2:41" ht="12.95" customHeight="1" x14ac:dyDescent="0.15">
      <c r="D308" s="191"/>
      <c r="E308" s="192"/>
      <c r="F308" s="40">
        <f>ROUND(F307/(F$305+F$307+F$309),3)</f>
        <v>0.52700000000000002</v>
      </c>
      <c r="G308" s="41">
        <f t="shared" ref="G308" si="325">ROUND(G307/(G$305+G$307+G$309),3)</f>
        <v>0.21299999999999999</v>
      </c>
      <c r="H308" s="41">
        <f t="shared" ref="H308" si="326">ROUND(H307/(H$305+H$307+H$309),3)</f>
        <v>0.54800000000000004</v>
      </c>
      <c r="I308" s="42">
        <f t="shared" ref="I308" si="327">ROUND(I307/(I$305+I$307+I$309),3)</f>
        <v>0.56299999999999994</v>
      </c>
      <c r="J308" s="40">
        <f>ROUND(J307/(J$305+J$307+J$309),3)</f>
        <v>0.47199999999999998</v>
      </c>
      <c r="K308" s="41">
        <f t="shared" ref="K308:M308" si="328">ROUND(K307/(K$305+K$307+K$309),3)</f>
        <v>0.107</v>
      </c>
      <c r="L308" s="41">
        <f t="shared" si="328"/>
        <v>0.51400000000000001</v>
      </c>
      <c r="M308" s="41">
        <f t="shared" si="328"/>
        <v>0.51800000000000002</v>
      </c>
      <c r="N308" s="1"/>
      <c r="O308" s="1"/>
      <c r="P308" s="1"/>
      <c r="Q308" s="1"/>
      <c r="R308" s="1"/>
      <c r="S308" s="1"/>
      <c r="AF308" s="7"/>
      <c r="AN308" s="1"/>
    </row>
    <row r="309" spans="2:41" ht="12.95" customHeight="1" x14ac:dyDescent="0.15">
      <c r="D309" s="188" t="s">
        <v>88</v>
      </c>
      <c r="E309" s="189"/>
      <c r="F309" s="22">
        <f>G309+H309+I309</f>
        <v>69</v>
      </c>
      <c r="G309" s="23">
        <v>3</v>
      </c>
      <c r="H309" s="23">
        <v>17</v>
      </c>
      <c r="I309" s="24">
        <v>49</v>
      </c>
      <c r="J309" s="22">
        <f>K309+L309+M309</f>
        <v>46</v>
      </c>
      <c r="K309" s="23">
        <v>2</v>
      </c>
      <c r="L309" s="23">
        <v>22</v>
      </c>
      <c r="M309" s="23">
        <v>22</v>
      </c>
      <c r="N309" s="1"/>
      <c r="O309" s="1"/>
      <c r="P309" s="1"/>
      <c r="Q309" s="1"/>
      <c r="R309" s="1"/>
      <c r="S309" s="1"/>
      <c r="AF309" s="7"/>
      <c r="AN309" s="1"/>
    </row>
    <row r="310" spans="2:41" ht="12.95" customHeight="1" x14ac:dyDescent="0.15">
      <c r="D310" s="191"/>
      <c r="E310" s="192"/>
      <c r="F310" s="40">
        <f>ROUND(F309/(F$305+F$307+F$309),3)</f>
        <v>0.10299999999999999</v>
      </c>
      <c r="G310" s="41">
        <f t="shared" ref="G310" si="329">ROUND(G309/(G$305+G$307+G$309),3)</f>
        <v>4.9000000000000002E-2</v>
      </c>
      <c r="H310" s="41">
        <f t="shared" ref="H310" si="330">ROUND(H309/(H$305+H$307+H$309),3)</f>
        <v>9.0999999999999998E-2</v>
      </c>
      <c r="I310" s="42">
        <f t="shared" ref="I310" si="331">ROUND(I309/(I$305+I$307+I$309),3)</f>
        <v>0.11600000000000001</v>
      </c>
      <c r="J310" s="40">
        <f>ROUND(J309/(J$305+J$307+J$309),3)-0.001</f>
        <v>6.6000000000000003E-2</v>
      </c>
      <c r="K310" s="41">
        <f>ROUND(K309/(K$305+K$307+K$309),3)</f>
        <v>2.7E-2</v>
      </c>
      <c r="L310" s="41">
        <f t="shared" ref="L310:M310" si="332">ROUND(L309/(L$305+L$307+L$309),3)</f>
        <v>0.10199999999999999</v>
      </c>
      <c r="M310" s="41">
        <f t="shared" si="332"/>
        <v>5.5E-2</v>
      </c>
      <c r="N310" s="1"/>
      <c r="O310" s="1"/>
      <c r="P310" s="1"/>
      <c r="Q310" s="1"/>
      <c r="R310" s="1"/>
      <c r="S310" s="1"/>
      <c r="AF310" s="7"/>
      <c r="AN310" s="1"/>
    </row>
    <row r="311" spans="2:41" ht="12.95" customHeight="1" x14ac:dyDescent="0.15">
      <c r="D311" s="187" t="s">
        <v>20</v>
      </c>
      <c r="E311" s="194"/>
      <c r="F311" s="22">
        <f>F305+F307+F309</f>
        <v>670</v>
      </c>
      <c r="G311" s="23">
        <f t="shared" ref="G311:I311" si="333">G305+G307+G309</f>
        <v>61</v>
      </c>
      <c r="H311" s="23">
        <f t="shared" si="333"/>
        <v>186</v>
      </c>
      <c r="I311" s="24">
        <f t="shared" si="333"/>
        <v>423</v>
      </c>
      <c r="J311" s="22">
        <f>J305+J307+J309</f>
        <v>691</v>
      </c>
      <c r="K311" s="23">
        <f t="shared" ref="K311:M311" si="334">K305+K307+K309</f>
        <v>75</v>
      </c>
      <c r="L311" s="23">
        <f t="shared" si="334"/>
        <v>216</v>
      </c>
      <c r="M311" s="23">
        <f t="shared" si="334"/>
        <v>400</v>
      </c>
      <c r="N311" s="1"/>
      <c r="O311" s="1"/>
      <c r="P311" s="1"/>
      <c r="Q311" s="1"/>
      <c r="R311" s="1"/>
      <c r="S311" s="1"/>
      <c r="AF311" s="7"/>
      <c r="AN311" s="1"/>
    </row>
    <row r="312" spans="2:41" ht="13.5" customHeight="1" thickBot="1" x14ac:dyDescent="0.2">
      <c r="D312" s="187"/>
      <c r="E312" s="194"/>
      <c r="F312" s="133">
        <f>F306+F308+F310</f>
        <v>1</v>
      </c>
      <c r="G312" s="134">
        <f t="shared" ref="G312:I312" si="335">G306+G308+G310</f>
        <v>1</v>
      </c>
      <c r="H312" s="134">
        <f t="shared" si="335"/>
        <v>0.999</v>
      </c>
      <c r="I312" s="135">
        <f t="shared" si="335"/>
        <v>1.0010000000000001</v>
      </c>
      <c r="J312" s="137">
        <f>J306+J308+J310</f>
        <v>1</v>
      </c>
      <c r="K312" s="136">
        <f t="shared" ref="K312:M312" si="336">K306+K308+K310</f>
        <v>1</v>
      </c>
      <c r="L312" s="136">
        <f t="shared" si="336"/>
        <v>1</v>
      </c>
      <c r="M312" s="136">
        <f t="shared" si="336"/>
        <v>1</v>
      </c>
      <c r="N312" s="1"/>
      <c r="O312" s="1"/>
      <c r="P312" s="1"/>
      <c r="Q312" s="1"/>
      <c r="R312" s="1"/>
      <c r="S312" s="1"/>
      <c r="AF312" s="7"/>
      <c r="AN312" s="1"/>
    </row>
    <row r="313" spans="2:41" x14ac:dyDescent="0.15">
      <c r="D313" s="82"/>
      <c r="E313" s="129"/>
      <c r="F313" s="129"/>
      <c r="G313" s="57"/>
      <c r="H313" s="57"/>
      <c r="I313" s="57"/>
      <c r="J313" s="57"/>
      <c r="K313" s="57"/>
      <c r="L313" s="57"/>
      <c r="M313" s="57"/>
      <c r="N313" s="57"/>
      <c r="O313" s="69"/>
      <c r="P313" s="57"/>
      <c r="Q313" s="57"/>
      <c r="R313" s="57"/>
      <c r="S313" s="57"/>
      <c r="T313" s="50"/>
      <c r="U313" s="12"/>
      <c r="V313" s="50"/>
      <c r="W313" s="34"/>
      <c r="X313" s="2"/>
      <c r="AN313" s="1"/>
      <c r="AO313" s="7"/>
    </row>
    <row r="314" spans="2:41" x14ac:dyDescent="0.15">
      <c r="D314" s="82"/>
      <c r="E314" s="129"/>
      <c r="F314" s="129"/>
      <c r="G314" s="57"/>
      <c r="H314" s="57"/>
      <c r="I314" s="57"/>
      <c r="J314" s="57"/>
      <c r="K314" s="57"/>
      <c r="L314" s="57"/>
      <c r="M314" s="57"/>
      <c r="N314" s="57"/>
      <c r="O314" s="69"/>
      <c r="P314" s="57"/>
      <c r="Q314" s="57"/>
      <c r="R314" s="57"/>
      <c r="S314" s="57"/>
      <c r="T314" s="50"/>
      <c r="U314" s="12"/>
      <c r="V314" s="50"/>
      <c r="W314" s="34"/>
      <c r="X314" s="2"/>
      <c r="AN314" s="1"/>
      <c r="AO314" s="7"/>
    </row>
    <row r="315" spans="2:41" x14ac:dyDescent="0.15">
      <c r="D315" s="82"/>
      <c r="E315" s="129"/>
      <c r="F315" s="129"/>
      <c r="G315" s="57"/>
      <c r="H315" s="57"/>
      <c r="I315" s="57"/>
      <c r="J315" s="57"/>
      <c r="K315" s="57"/>
      <c r="L315" s="57"/>
      <c r="M315" s="57"/>
      <c r="N315" s="57"/>
      <c r="O315" s="69"/>
      <c r="P315" s="57"/>
      <c r="Q315" s="57"/>
      <c r="R315" s="57"/>
      <c r="S315" s="57"/>
      <c r="T315" s="50"/>
      <c r="U315" s="12"/>
      <c r="V315" s="50"/>
      <c r="W315" s="34"/>
      <c r="X315" s="2"/>
      <c r="AN315" s="1"/>
      <c r="AO315" s="7"/>
    </row>
    <row r="316" spans="2:41" x14ac:dyDescent="0.15">
      <c r="D316" s="82"/>
      <c r="E316" s="129"/>
      <c r="F316" s="129"/>
      <c r="G316" s="57"/>
      <c r="H316" s="57"/>
      <c r="I316" s="57"/>
      <c r="J316" s="57"/>
      <c r="K316" s="57"/>
      <c r="L316" s="57"/>
      <c r="M316" s="57"/>
      <c r="N316" s="57"/>
      <c r="O316" s="69"/>
      <c r="P316" s="57"/>
      <c r="Q316" s="57"/>
      <c r="R316" s="57"/>
      <c r="S316" s="57"/>
      <c r="T316" s="50"/>
      <c r="U316" s="12"/>
      <c r="V316" s="50"/>
      <c r="W316" s="34"/>
      <c r="X316" s="2"/>
      <c r="AN316" s="1"/>
      <c r="AO316" s="7"/>
    </row>
    <row r="317" spans="2:41" ht="14.25" thickBot="1" x14ac:dyDescent="0.2">
      <c r="B317" s="3" t="s">
        <v>90</v>
      </c>
      <c r="K317" s="5"/>
      <c r="O317" s="5"/>
    </row>
    <row r="318" spans="2:41" ht="12.95" customHeight="1" x14ac:dyDescent="0.15">
      <c r="D318" s="203"/>
      <c r="E318" s="197"/>
      <c r="F318" s="184" t="s">
        <v>265</v>
      </c>
      <c r="G318" s="185"/>
      <c r="H318" s="185"/>
      <c r="I318" s="186"/>
      <c r="J318" s="182" t="s">
        <v>60</v>
      </c>
      <c r="K318" s="187"/>
      <c r="L318" s="187"/>
      <c r="M318" s="187"/>
      <c r="N318" s="197" t="s">
        <v>10</v>
      </c>
      <c r="O318" s="204"/>
      <c r="P318" s="204"/>
      <c r="Q318" s="205"/>
      <c r="R318" s="11"/>
      <c r="S318" s="11"/>
      <c r="T318" s="2"/>
      <c r="U318" s="12"/>
      <c r="V318" s="2"/>
      <c r="W318" s="2"/>
    </row>
    <row r="319" spans="2:41" ht="12.95" customHeight="1" x14ac:dyDescent="0.15">
      <c r="D319" s="210"/>
      <c r="E319" s="211"/>
      <c r="F319" s="124"/>
      <c r="G319" s="128" t="s">
        <v>11</v>
      </c>
      <c r="H319" s="128" t="s">
        <v>12</v>
      </c>
      <c r="I319" s="39" t="s">
        <v>13</v>
      </c>
      <c r="J319" s="124"/>
      <c r="K319" s="128" t="s">
        <v>11</v>
      </c>
      <c r="L319" s="128" t="s">
        <v>12</v>
      </c>
      <c r="M319" s="128" t="s">
        <v>13</v>
      </c>
      <c r="N319" s="15"/>
      <c r="O319" s="122" t="s">
        <v>11</v>
      </c>
      <c r="P319" s="122" t="s">
        <v>12</v>
      </c>
      <c r="Q319" s="122" t="s">
        <v>13</v>
      </c>
      <c r="R319" s="16"/>
      <c r="S319" s="16"/>
      <c r="T319" s="2"/>
      <c r="U319" s="12"/>
      <c r="V319" s="2"/>
      <c r="W319" s="2"/>
    </row>
    <row r="320" spans="2:41" ht="12.95" customHeight="1" x14ac:dyDescent="0.15">
      <c r="D320" s="188" t="s">
        <v>200</v>
      </c>
      <c r="E320" s="189"/>
      <c r="F320" s="22">
        <f>G320+H320+I320</f>
        <v>4</v>
      </c>
      <c r="G320" s="23">
        <v>1</v>
      </c>
      <c r="H320" s="23">
        <v>0</v>
      </c>
      <c r="I320" s="24">
        <v>3</v>
      </c>
      <c r="J320" s="22">
        <f>K320+L320+M320</f>
        <v>45</v>
      </c>
      <c r="K320" s="23">
        <v>3</v>
      </c>
      <c r="L320" s="23">
        <v>15</v>
      </c>
      <c r="M320" s="23">
        <v>27</v>
      </c>
      <c r="N320" s="25">
        <f>O320+P320+Q320</f>
        <v>42</v>
      </c>
      <c r="O320" s="23">
        <v>6</v>
      </c>
      <c r="P320" s="23">
        <v>10</v>
      </c>
      <c r="Q320" s="23">
        <v>26</v>
      </c>
      <c r="T320" s="2"/>
      <c r="U320" s="12"/>
      <c r="V320" s="2"/>
      <c r="W320" s="2"/>
    </row>
    <row r="321" spans="4:41" ht="12.95" customHeight="1" x14ac:dyDescent="0.15">
      <c r="D321" s="191"/>
      <c r="E321" s="192"/>
      <c r="F321" s="40">
        <f>ROUND(F320/(F$320+F$322+F$324+F$326),3)</f>
        <v>6.0000000000000001E-3</v>
      </c>
      <c r="G321" s="41">
        <f t="shared" ref="G321:I321" si="337">ROUND(G320/(G$320+G$322+G$324+G$326),3)</f>
        <v>1.7999999999999999E-2</v>
      </c>
      <c r="H321" s="41">
        <f t="shared" si="337"/>
        <v>0</v>
      </c>
      <c r="I321" s="42">
        <f t="shared" si="337"/>
        <v>7.0000000000000001E-3</v>
      </c>
      <c r="J321" s="40">
        <f>ROUND(J320/(J$320+J$322+J$324+J$326),3)</f>
        <v>6.5000000000000002E-2</v>
      </c>
      <c r="K321" s="41">
        <f t="shared" ref="K321:M321" si="338">ROUND(K320/(K$320+K$322+K$324+K$326),3)</f>
        <v>4.2999999999999997E-2</v>
      </c>
      <c r="L321" s="41">
        <f t="shared" si="338"/>
        <v>7.0000000000000007E-2</v>
      </c>
      <c r="M321" s="41">
        <f t="shared" si="338"/>
        <v>6.6000000000000003E-2</v>
      </c>
      <c r="N321" s="43">
        <f t="shared" ref="N321:Q321" si="339">ROUND(N320/(N$320+N$322+N$324+N$326+N$328),3)</f>
        <v>5.2999999999999999E-2</v>
      </c>
      <c r="O321" s="41">
        <f t="shared" si="339"/>
        <v>9.0999999999999998E-2</v>
      </c>
      <c r="P321" s="41">
        <f t="shared" si="339"/>
        <v>3.9E-2</v>
      </c>
      <c r="Q321" s="41">
        <f t="shared" si="339"/>
        <v>5.6000000000000001E-2</v>
      </c>
      <c r="R321" s="38"/>
      <c r="S321" s="38"/>
      <c r="T321" s="2"/>
      <c r="U321" s="12"/>
      <c r="V321" s="2"/>
      <c r="W321" s="2"/>
    </row>
    <row r="322" spans="4:41" ht="12.95" customHeight="1" x14ac:dyDescent="0.15">
      <c r="D322" s="188" t="s">
        <v>201</v>
      </c>
      <c r="E322" s="189"/>
      <c r="F322" s="22">
        <f>G322+H322+I322</f>
        <v>381</v>
      </c>
      <c r="G322" s="23">
        <v>39</v>
      </c>
      <c r="H322" s="23">
        <v>112</v>
      </c>
      <c r="I322" s="24">
        <v>230</v>
      </c>
      <c r="J322" s="22">
        <f>K322+L322+M322</f>
        <v>347</v>
      </c>
      <c r="K322" s="23">
        <v>41</v>
      </c>
      <c r="L322" s="23">
        <v>109</v>
      </c>
      <c r="M322" s="23">
        <v>197</v>
      </c>
      <c r="N322" s="25">
        <f>O322+P322+Q322</f>
        <v>375</v>
      </c>
      <c r="O322" s="23">
        <v>44</v>
      </c>
      <c r="P322" s="23">
        <v>135</v>
      </c>
      <c r="Q322" s="23">
        <v>196</v>
      </c>
      <c r="T322" s="2"/>
      <c r="U322" s="12"/>
      <c r="V322" s="2"/>
      <c r="W322" s="2"/>
    </row>
    <row r="323" spans="4:41" ht="12.95" customHeight="1" x14ac:dyDescent="0.15">
      <c r="D323" s="191"/>
      <c r="E323" s="192"/>
      <c r="F323" s="40">
        <f>ROUND(F322/(F$320+F$322+F$324+F$326),3)</f>
        <v>0.58699999999999997</v>
      </c>
      <c r="G323" s="41">
        <f t="shared" ref="G323" si="340">ROUND(G322/(G$320+G$322+G$324+G$326),3)</f>
        <v>0.68400000000000005</v>
      </c>
      <c r="H323" s="41">
        <f t="shared" ref="H323" si="341">ROUND(H322/(H$320+H$322+H$324+H$326),3)</f>
        <v>0.60499999999999998</v>
      </c>
      <c r="I323" s="42">
        <f t="shared" ref="I323" si="342">ROUND(I322/(I$320+I$322+I$324+I$326),3)</f>
        <v>0.56499999999999995</v>
      </c>
      <c r="J323" s="40">
        <f>ROUND(J322/(J$320+J$322+J$324+J$326),3)</f>
        <v>0.5</v>
      </c>
      <c r="K323" s="41">
        <f t="shared" ref="K323:M323" si="343">ROUND(K322/(K$320+K$322+K$324+K$326),3)</f>
        <v>0.58599999999999997</v>
      </c>
      <c r="L323" s="41">
        <f t="shared" si="343"/>
        <v>0.51200000000000001</v>
      </c>
      <c r="M323" s="41">
        <f t="shared" si="343"/>
        <v>0.47899999999999998</v>
      </c>
      <c r="N323" s="43">
        <f>ROUND(N322/(N$320+N$322+N$324+N$326+N$328),3)</f>
        <v>0.47599999999999998</v>
      </c>
      <c r="O323" s="41">
        <f>ROUND(O322/(O$320+O$322+O$324+O$326+O$328),3)</f>
        <v>0.66700000000000004</v>
      </c>
      <c r="P323" s="41">
        <f>ROUND(P322/(P$320+P$322+P$324+P$326+P$328),3)</f>
        <v>0.52700000000000002</v>
      </c>
      <c r="Q323" s="41">
        <f>ROUND(Q322/(Q$320+Q$322+Q$324+Q$326+Q$328),3)-0.001</f>
        <v>0.42099999999999999</v>
      </c>
      <c r="R323" s="38"/>
      <c r="S323" s="38"/>
      <c r="T323" s="2"/>
      <c r="U323" s="12"/>
      <c r="V323" s="2"/>
      <c r="W323" s="2"/>
    </row>
    <row r="324" spans="4:41" ht="12.95" customHeight="1" x14ac:dyDescent="0.15">
      <c r="D324" s="188" t="s">
        <v>202</v>
      </c>
      <c r="E324" s="189"/>
      <c r="F324" s="22">
        <f>G324+H324+I324</f>
        <v>200</v>
      </c>
      <c r="G324" s="23">
        <v>12</v>
      </c>
      <c r="H324" s="23">
        <v>56</v>
      </c>
      <c r="I324" s="24">
        <v>132</v>
      </c>
      <c r="J324" s="22">
        <f>K324+L324+M324</f>
        <v>247</v>
      </c>
      <c r="K324" s="23">
        <v>19</v>
      </c>
      <c r="L324" s="23">
        <v>78</v>
      </c>
      <c r="M324" s="23">
        <v>150</v>
      </c>
      <c r="N324" s="25">
        <f>O324+P324+Q324</f>
        <v>257</v>
      </c>
      <c r="O324" s="23">
        <v>8</v>
      </c>
      <c r="P324" s="23">
        <v>77</v>
      </c>
      <c r="Q324" s="23">
        <v>172</v>
      </c>
      <c r="T324" s="2"/>
      <c r="U324" s="12"/>
      <c r="V324" s="2"/>
      <c r="W324" s="2"/>
    </row>
    <row r="325" spans="4:41" ht="12.95" customHeight="1" x14ac:dyDescent="0.15">
      <c r="D325" s="191"/>
      <c r="E325" s="192"/>
      <c r="F325" s="40">
        <f>ROUND(F324/(F$320+F$322+F$324+F$326),3)</f>
        <v>0.308</v>
      </c>
      <c r="G325" s="41">
        <f t="shared" ref="G325" si="344">ROUND(G324/(G$320+G$322+G$324+G$326),3)</f>
        <v>0.21099999999999999</v>
      </c>
      <c r="H325" s="41">
        <f t="shared" ref="H325" si="345">ROUND(H324/(H$320+H$322+H$324+H$326),3)</f>
        <v>0.30299999999999999</v>
      </c>
      <c r="I325" s="42">
        <f t="shared" ref="I325" si="346">ROUND(I324/(I$320+I$322+I$324+I$326),3)</f>
        <v>0.32400000000000001</v>
      </c>
      <c r="J325" s="40">
        <f>ROUND(J324/(J$320+J$322+J$324+J$326),3)</f>
        <v>0.35599999999999998</v>
      </c>
      <c r="K325" s="41">
        <f t="shared" ref="K325:M325" si="347">ROUND(K324/(K$320+K$322+K$324+K$326),3)</f>
        <v>0.27100000000000002</v>
      </c>
      <c r="L325" s="41">
        <f t="shared" si="347"/>
        <v>0.36599999999999999</v>
      </c>
      <c r="M325" s="41">
        <f t="shared" si="347"/>
        <v>0.36499999999999999</v>
      </c>
      <c r="N325" s="43">
        <f t="shared" ref="N325:Q325" si="348">ROUND(N324/(N$320+N$322+N$324+N$326+N$328),3)</f>
        <v>0.32700000000000001</v>
      </c>
      <c r="O325" s="41">
        <f t="shared" si="348"/>
        <v>0.121</v>
      </c>
      <c r="P325" s="41">
        <f t="shared" si="348"/>
        <v>0.30099999999999999</v>
      </c>
      <c r="Q325" s="41">
        <f t="shared" si="348"/>
        <v>0.37</v>
      </c>
      <c r="R325" s="38"/>
      <c r="S325" s="38"/>
      <c r="T325" s="2"/>
      <c r="U325" s="12"/>
      <c r="V325" s="2"/>
      <c r="W325" s="2"/>
    </row>
    <row r="326" spans="4:41" ht="12.95" customHeight="1" x14ac:dyDescent="0.15">
      <c r="D326" s="188" t="s">
        <v>203</v>
      </c>
      <c r="E326" s="189"/>
      <c r="F326" s="22">
        <f>G326+H326+I326</f>
        <v>64</v>
      </c>
      <c r="G326" s="23">
        <v>5</v>
      </c>
      <c r="H326" s="23">
        <v>17</v>
      </c>
      <c r="I326" s="24">
        <v>42</v>
      </c>
      <c r="J326" s="22">
        <f>K326+L326+M326</f>
        <v>55</v>
      </c>
      <c r="K326" s="23">
        <v>7</v>
      </c>
      <c r="L326" s="23">
        <v>11</v>
      </c>
      <c r="M326" s="23">
        <v>37</v>
      </c>
      <c r="N326" s="25">
        <f>O326+P326+Q326</f>
        <v>62</v>
      </c>
      <c r="O326" s="23">
        <v>2</v>
      </c>
      <c r="P326" s="23">
        <v>21</v>
      </c>
      <c r="Q326" s="23">
        <v>39</v>
      </c>
      <c r="T326" s="2"/>
      <c r="U326" s="12"/>
      <c r="V326" s="2"/>
      <c r="W326" s="2"/>
    </row>
    <row r="327" spans="4:41" ht="12.95" customHeight="1" x14ac:dyDescent="0.15">
      <c r="D327" s="191"/>
      <c r="E327" s="192"/>
      <c r="F327" s="40">
        <f>ROUND(F326/(F$320+F$322+F$324+F$326),3)</f>
        <v>9.9000000000000005E-2</v>
      </c>
      <c r="G327" s="41">
        <f t="shared" ref="G327" si="349">ROUND(G326/(G$320+G$322+G$324+G$326),3)</f>
        <v>8.7999999999999995E-2</v>
      </c>
      <c r="H327" s="41">
        <f t="shared" ref="H327" si="350">ROUND(H326/(H$320+H$322+H$324+H$326),3)</f>
        <v>9.1999999999999998E-2</v>
      </c>
      <c r="I327" s="42">
        <f t="shared" ref="I327" si="351">ROUND(I326/(I$320+I$322+I$324+I$326),3)</f>
        <v>0.10299999999999999</v>
      </c>
      <c r="J327" s="40">
        <f>ROUND(J326/(J$320+J$322+J$324+J$326),3)</f>
        <v>7.9000000000000001E-2</v>
      </c>
      <c r="K327" s="41">
        <f t="shared" ref="K327:M327" si="352">ROUND(K326/(K$320+K$322+K$324+K$326),3)</f>
        <v>0.1</v>
      </c>
      <c r="L327" s="41">
        <f t="shared" si="352"/>
        <v>5.1999999999999998E-2</v>
      </c>
      <c r="M327" s="41">
        <f t="shared" si="352"/>
        <v>0.09</v>
      </c>
      <c r="N327" s="43">
        <f t="shared" ref="N327:Q327" si="353">ROUND(N326/(N$320+N$322+N$324+N$326+N$328),3)</f>
        <v>7.9000000000000001E-2</v>
      </c>
      <c r="O327" s="41">
        <f t="shared" si="353"/>
        <v>0.03</v>
      </c>
      <c r="P327" s="41">
        <f t="shared" si="353"/>
        <v>8.2000000000000003E-2</v>
      </c>
      <c r="Q327" s="41">
        <f t="shared" si="353"/>
        <v>8.4000000000000005E-2</v>
      </c>
      <c r="R327" s="38"/>
      <c r="S327" s="38"/>
      <c r="T327" s="2"/>
      <c r="U327" s="12"/>
      <c r="V327" s="2"/>
      <c r="W327" s="2"/>
    </row>
    <row r="328" spans="4:41" ht="12.95" customHeight="1" x14ac:dyDescent="0.15">
      <c r="D328" s="188" t="s">
        <v>19</v>
      </c>
      <c r="E328" s="189"/>
      <c r="F328" s="182" t="s">
        <v>7</v>
      </c>
      <c r="G328" s="176" t="s">
        <v>7</v>
      </c>
      <c r="H328" s="176" t="s">
        <v>7</v>
      </c>
      <c r="I328" s="176" t="s">
        <v>7</v>
      </c>
      <c r="J328" s="182" t="s">
        <v>7</v>
      </c>
      <c r="K328" s="176" t="s">
        <v>7</v>
      </c>
      <c r="L328" s="176" t="s">
        <v>7</v>
      </c>
      <c r="M328" s="176" t="s">
        <v>7</v>
      </c>
      <c r="N328" s="25">
        <f>O328+P328+Q328</f>
        <v>51</v>
      </c>
      <c r="O328" s="23">
        <v>6</v>
      </c>
      <c r="P328" s="23">
        <v>13</v>
      </c>
      <c r="Q328" s="23">
        <v>32</v>
      </c>
      <c r="T328" s="2"/>
      <c r="U328" s="12"/>
      <c r="V328" s="2"/>
      <c r="W328" s="2"/>
    </row>
    <row r="329" spans="4:41" ht="12.95" customHeight="1" x14ac:dyDescent="0.15">
      <c r="D329" s="191"/>
      <c r="E329" s="192"/>
      <c r="F329" s="183"/>
      <c r="G329" s="177"/>
      <c r="H329" s="177"/>
      <c r="I329" s="177"/>
      <c r="J329" s="183"/>
      <c r="K329" s="177"/>
      <c r="L329" s="177"/>
      <c r="M329" s="177"/>
      <c r="N329" s="43">
        <f t="shared" ref="N329:Q329" si="354">ROUND(N328/(N$320+N$322+N$324+N$326+N$328),3)</f>
        <v>6.5000000000000002E-2</v>
      </c>
      <c r="O329" s="41">
        <f t="shared" si="354"/>
        <v>9.0999999999999998E-2</v>
      </c>
      <c r="P329" s="41">
        <f t="shared" si="354"/>
        <v>5.0999999999999997E-2</v>
      </c>
      <c r="Q329" s="41">
        <f t="shared" si="354"/>
        <v>6.9000000000000006E-2</v>
      </c>
      <c r="R329" s="38"/>
      <c r="S329" s="38"/>
      <c r="T329" s="2"/>
      <c r="U329" s="12"/>
      <c r="V329" s="2"/>
      <c r="W329" s="2"/>
    </row>
    <row r="330" spans="4:41" ht="12.95" customHeight="1" x14ac:dyDescent="0.15">
      <c r="D330" s="187" t="s">
        <v>20</v>
      </c>
      <c r="E330" s="194"/>
      <c r="F330" s="112">
        <f>F320+F322+F324+F326</f>
        <v>649</v>
      </c>
      <c r="G330" s="23">
        <f t="shared" ref="G330:I330" si="355">G320+G322+G324+G326</f>
        <v>57</v>
      </c>
      <c r="H330" s="66">
        <f t="shared" si="355"/>
        <v>185</v>
      </c>
      <c r="I330" s="60">
        <f t="shared" si="355"/>
        <v>407</v>
      </c>
      <c r="J330" s="22">
        <f>J320+J322+J324+J326</f>
        <v>694</v>
      </c>
      <c r="K330" s="23">
        <f t="shared" ref="K330:M330" si="356">K320+K322+K324+K326</f>
        <v>70</v>
      </c>
      <c r="L330" s="23">
        <f t="shared" si="356"/>
        <v>213</v>
      </c>
      <c r="M330" s="23">
        <f t="shared" si="356"/>
        <v>411</v>
      </c>
      <c r="N330" s="66">
        <f t="shared" ref="N330:Q330" si="357">N320+N322+N324+N326+N328</f>
        <v>787</v>
      </c>
      <c r="O330" s="59">
        <f t="shared" si="357"/>
        <v>66</v>
      </c>
      <c r="P330" s="66">
        <f t="shared" si="357"/>
        <v>256</v>
      </c>
      <c r="Q330" s="59">
        <f t="shared" si="357"/>
        <v>465</v>
      </c>
      <c r="T330" s="2"/>
      <c r="U330" s="12"/>
      <c r="V330" s="2"/>
      <c r="W330" s="2"/>
    </row>
    <row r="331" spans="4:41" ht="13.5" customHeight="1" thickBot="1" x14ac:dyDescent="0.2">
      <c r="D331" s="187"/>
      <c r="E331" s="194"/>
      <c r="F331" s="160">
        <f t="shared" ref="F331:I331" si="358">F321+F323+F325+F327+F329</f>
        <v>1</v>
      </c>
      <c r="G331" s="134">
        <f t="shared" si="358"/>
        <v>1.0010000000000001</v>
      </c>
      <c r="H331" s="161">
        <f t="shared" si="358"/>
        <v>0.99999999999999989</v>
      </c>
      <c r="I331" s="135">
        <f t="shared" si="358"/>
        <v>0.99899999999999989</v>
      </c>
      <c r="J331" s="137">
        <f>J321+J323+J325+J327</f>
        <v>0.99999999999999989</v>
      </c>
      <c r="K331" s="136">
        <f t="shared" ref="K331:M331" si="359">K321+K323+K325+K327</f>
        <v>1</v>
      </c>
      <c r="L331" s="136">
        <f t="shared" si="359"/>
        <v>1</v>
      </c>
      <c r="M331" s="136">
        <f t="shared" si="359"/>
        <v>0.99999999999999989</v>
      </c>
      <c r="N331" s="132">
        <f t="shared" ref="N331:Q331" si="360">N321+N323+N325+N327+N329</f>
        <v>1</v>
      </c>
      <c r="O331" s="136">
        <f t="shared" si="360"/>
        <v>1</v>
      </c>
      <c r="P331" s="132">
        <f t="shared" si="360"/>
        <v>1</v>
      </c>
      <c r="Q331" s="136">
        <f t="shared" si="360"/>
        <v>1</v>
      </c>
      <c r="R331" s="50"/>
      <c r="S331" s="50"/>
      <c r="T331" s="34"/>
      <c r="U331" s="35"/>
      <c r="V331" s="34"/>
      <c r="W331" s="2"/>
    </row>
    <row r="332" spans="4:41" x14ac:dyDescent="0.15">
      <c r="D332" s="82"/>
      <c r="E332" s="129"/>
      <c r="F332" s="74"/>
      <c r="G332" s="74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0"/>
      <c r="S332" s="50"/>
      <c r="T332" s="50"/>
      <c r="U332" s="12"/>
      <c r="V332" s="50"/>
      <c r="W332" s="34"/>
      <c r="X332" s="2"/>
      <c r="AN332" s="1"/>
      <c r="AO332" s="7"/>
    </row>
    <row r="333" spans="4:41" x14ac:dyDescent="0.15">
      <c r="D333" s="82"/>
      <c r="E333" s="129"/>
      <c r="F333" s="74"/>
      <c r="G333" s="74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0"/>
      <c r="S333" s="50"/>
      <c r="T333" s="50"/>
      <c r="U333" s="12"/>
      <c r="V333" s="50"/>
      <c r="W333" s="34"/>
      <c r="X333" s="2"/>
      <c r="AN333" s="1"/>
      <c r="AO333" s="7"/>
    </row>
    <row r="334" spans="4:41" x14ac:dyDescent="0.15">
      <c r="D334" s="82"/>
      <c r="E334" s="129"/>
      <c r="F334" s="74"/>
      <c r="G334" s="74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0"/>
      <c r="S334" s="50"/>
      <c r="T334" s="50" t="s">
        <v>200</v>
      </c>
      <c r="U334" s="12">
        <v>4</v>
      </c>
      <c r="V334" s="50"/>
      <c r="W334" s="34"/>
      <c r="X334" s="2"/>
      <c r="AN334" s="1"/>
      <c r="AO334" s="7"/>
    </row>
    <row r="335" spans="4:41" x14ac:dyDescent="0.15">
      <c r="D335" s="82"/>
      <c r="E335" s="129"/>
      <c r="F335" s="74"/>
      <c r="G335" s="74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0"/>
      <c r="S335" s="50"/>
      <c r="T335" s="50" t="s">
        <v>201</v>
      </c>
      <c r="U335" s="12">
        <v>381</v>
      </c>
      <c r="V335" s="50"/>
      <c r="W335" s="34"/>
      <c r="X335" s="2"/>
      <c r="AN335" s="1"/>
      <c r="AO335" s="7"/>
    </row>
    <row r="336" spans="4:41" x14ac:dyDescent="0.15">
      <c r="D336" s="82"/>
      <c r="E336" s="129"/>
      <c r="F336" s="74"/>
      <c r="G336" s="74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0"/>
      <c r="S336" s="50"/>
      <c r="T336" s="50" t="s">
        <v>202</v>
      </c>
      <c r="U336" s="12">
        <v>200</v>
      </c>
      <c r="V336" s="50"/>
      <c r="W336" s="34"/>
      <c r="X336" s="2"/>
      <c r="AN336" s="1"/>
      <c r="AO336" s="7"/>
    </row>
    <row r="337" spans="2:41" x14ac:dyDescent="0.15">
      <c r="D337" s="82"/>
      <c r="E337" s="129"/>
      <c r="F337" s="74"/>
      <c r="G337" s="74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0"/>
      <c r="S337" s="50"/>
      <c r="T337" s="50" t="s">
        <v>203</v>
      </c>
      <c r="U337" s="12">
        <v>64</v>
      </c>
      <c r="V337" s="50"/>
      <c r="W337" s="34"/>
      <c r="X337" s="2"/>
      <c r="AN337" s="1"/>
      <c r="AO337" s="7"/>
    </row>
    <row r="338" spans="2:41" x14ac:dyDescent="0.15">
      <c r="D338" s="82"/>
      <c r="E338" s="129"/>
      <c r="F338" s="74"/>
      <c r="G338" s="74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0"/>
      <c r="S338" s="50"/>
      <c r="U338" s="12"/>
      <c r="V338" s="50"/>
      <c r="W338" s="34"/>
      <c r="X338" s="2"/>
      <c r="AN338" s="1"/>
      <c r="AO338" s="7"/>
    </row>
    <row r="339" spans="2:41" x14ac:dyDescent="0.15">
      <c r="D339" s="82"/>
      <c r="E339" s="129"/>
      <c r="F339" s="74"/>
      <c r="G339" s="74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0"/>
      <c r="S339" s="50"/>
      <c r="T339" s="50"/>
      <c r="U339" s="12"/>
      <c r="V339" s="50"/>
      <c r="W339" s="34"/>
      <c r="X339" s="2"/>
      <c r="AN339" s="1"/>
      <c r="AO339" s="7"/>
    </row>
    <row r="340" spans="2:41" x14ac:dyDescent="0.15">
      <c r="D340" s="82"/>
      <c r="E340" s="129"/>
      <c r="F340" s="74"/>
      <c r="G340" s="74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0"/>
      <c r="S340" s="50"/>
      <c r="U340" s="12"/>
      <c r="V340" s="50"/>
      <c r="W340" s="34"/>
      <c r="X340" s="2"/>
      <c r="AN340" s="1"/>
      <c r="AO340" s="7"/>
    </row>
    <row r="341" spans="2:41" x14ac:dyDescent="0.15">
      <c r="D341" s="82"/>
      <c r="E341" s="129"/>
      <c r="F341" s="74"/>
      <c r="G341" s="74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0"/>
      <c r="S341" s="50"/>
      <c r="T341" s="50"/>
      <c r="U341" s="12"/>
      <c r="V341" s="50"/>
      <c r="W341" s="34"/>
      <c r="X341" s="2"/>
      <c r="AN341" s="1"/>
      <c r="AO341" s="7"/>
    </row>
    <row r="342" spans="2:41" x14ac:dyDescent="0.15">
      <c r="D342" s="82"/>
      <c r="E342" s="129"/>
      <c r="F342" s="74"/>
      <c r="G342" s="74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0"/>
      <c r="S342" s="50"/>
      <c r="T342" s="50"/>
      <c r="U342" s="12"/>
      <c r="V342" s="50"/>
      <c r="W342" s="34"/>
      <c r="X342" s="2"/>
      <c r="AN342" s="1"/>
      <c r="AO342" s="7"/>
    </row>
    <row r="343" spans="2:41" x14ac:dyDescent="0.15">
      <c r="D343" s="82"/>
      <c r="E343" s="129"/>
      <c r="F343" s="74"/>
      <c r="G343" s="74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0"/>
      <c r="S343" s="50"/>
      <c r="T343" s="50"/>
      <c r="U343" s="12"/>
      <c r="V343" s="50"/>
      <c r="W343" s="34"/>
      <c r="X343" s="2"/>
      <c r="AN343" s="1"/>
      <c r="AO343" s="7"/>
    </row>
    <row r="344" spans="2:41" x14ac:dyDescent="0.15">
      <c r="D344" s="82"/>
      <c r="E344" s="129"/>
      <c r="F344" s="74"/>
      <c r="G344" s="74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0"/>
      <c r="S344" s="50"/>
      <c r="T344" s="50"/>
      <c r="U344" s="12"/>
      <c r="V344" s="50"/>
      <c r="W344" s="34"/>
      <c r="X344" s="2"/>
      <c r="AN344" s="1"/>
      <c r="AO344" s="7"/>
    </row>
    <row r="345" spans="2:41" x14ac:dyDescent="0.15">
      <c r="D345" s="82"/>
      <c r="E345" s="129"/>
      <c r="F345" s="74"/>
      <c r="G345" s="74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0"/>
      <c r="S345" s="50"/>
      <c r="T345" s="50"/>
      <c r="U345" s="12"/>
      <c r="V345" s="50"/>
      <c r="W345" s="34"/>
      <c r="X345" s="2"/>
      <c r="AN345" s="1"/>
      <c r="AO345" s="7"/>
    </row>
    <row r="346" spans="2:41" x14ac:dyDescent="0.15">
      <c r="D346" s="82"/>
      <c r="E346" s="129"/>
      <c r="F346" s="74"/>
      <c r="G346" s="74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0"/>
      <c r="S346" s="50"/>
      <c r="T346" s="50"/>
      <c r="U346" s="12"/>
      <c r="V346" s="50"/>
      <c r="W346" s="34"/>
      <c r="X346" s="2"/>
      <c r="AN346" s="1"/>
      <c r="AO346" s="7"/>
    </row>
    <row r="347" spans="2:41" x14ac:dyDescent="0.15">
      <c r="D347" s="82"/>
      <c r="E347" s="129"/>
      <c r="F347" s="74"/>
      <c r="G347" s="74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0"/>
      <c r="S347" s="50"/>
      <c r="T347" s="50"/>
      <c r="U347" s="12"/>
      <c r="V347" s="50"/>
      <c r="W347" s="34"/>
      <c r="X347" s="2"/>
      <c r="AN347" s="1"/>
      <c r="AO347" s="7"/>
    </row>
    <row r="348" spans="2:41" x14ac:dyDescent="0.15">
      <c r="D348" s="82"/>
      <c r="E348" s="129"/>
      <c r="F348" s="74"/>
      <c r="G348" s="74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0"/>
      <c r="S348" s="50"/>
      <c r="T348" s="50"/>
      <c r="U348" s="12"/>
      <c r="V348" s="50"/>
      <c r="W348" s="34"/>
      <c r="X348" s="2"/>
      <c r="AN348" s="1"/>
      <c r="AO348" s="7"/>
    </row>
    <row r="349" spans="2:41" x14ac:dyDescent="0.15">
      <c r="D349" s="82"/>
      <c r="E349" s="129"/>
      <c r="F349" s="74"/>
      <c r="G349" s="74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0"/>
      <c r="S349" s="50"/>
      <c r="T349" s="50"/>
      <c r="U349" s="12"/>
      <c r="V349" s="50"/>
      <c r="W349" s="34"/>
      <c r="X349" s="2"/>
      <c r="AN349" s="1"/>
      <c r="AO349" s="7"/>
    </row>
    <row r="350" spans="2:41" x14ac:dyDescent="0.15">
      <c r="D350" s="82"/>
      <c r="E350" s="129"/>
      <c r="F350" s="74"/>
      <c r="G350" s="74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0"/>
      <c r="S350" s="50"/>
      <c r="T350" s="50"/>
      <c r="U350" s="12"/>
      <c r="V350" s="50"/>
      <c r="W350" s="34"/>
      <c r="X350" s="2"/>
      <c r="AN350" s="1"/>
      <c r="AO350" s="7"/>
    </row>
    <row r="351" spans="2:41" x14ac:dyDescent="0.15">
      <c r="D351" s="82"/>
      <c r="E351" s="129"/>
      <c r="F351" s="74"/>
      <c r="G351" s="74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0"/>
      <c r="S351" s="50"/>
      <c r="T351" s="50"/>
      <c r="U351" s="12"/>
      <c r="V351" s="50"/>
      <c r="W351" s="34"/>
      <c r="X351" s="2"/>
      <c r="AN351" s="1"/>
      <c r="AO351" s="7"/>
    </row>
    <row r="352" spans="2:41" ht="14.25" thickBot="1" x14ac:dyDescent="0.2">
      <c r="B352" s="3" t="s">
        <v>97</v>
      </c>
      <c r="G352" s="10"/>
      <c r="K352" s="5"/>
      <c r="O352" s="5"/>
    </row>
    <row r="353" spans="4:40" ht="12.95" customHeight="1" x14ac:dyDescent="0.15">
      <c r="D353" s="70"/>
      <c r="E353" s="71"/>
      <c r="F353" s="86"/>
      <c r="G353" s="184" t="s">
        <v>265</v>
      </c>
      <c r="H353" s="185"/>
      <c r="I353" s="185"/>
      <c r="J353" s="186"/>
      <c r="K353" s="178" t="s">
        <v>60</v>
      </c>
      <c r="L353" s="197"/>
      <c r="M353" s="197"/>
      <c r="N353" s="198"/>
      <c r="O353" s="1"/>
      <c r="P353" s="1"/>
      <c r="Q353" s="1"/>
      <c r="R353" s="1"/>
      <c r="S353" s="1"/>
      <c r="AG353" s="7"/>
      <c r="AN353" s="1"/>
    </row>
    <row r="354" spans="4:40" ht="12.95" customHeight="1" x14ac:dyDescent="0.15">
      <c r="D354" s="72"/>
      <c r="E354" s="126"/>
      <c r="F354" s="126"/>
      <c r="G354" s="124"/>
      <c r="H354" s="128" t="s">
        <v>11</v>
      </c>
      <c r="I354" s="128" t="s">
        <v>12</v>
      </c>
      <c r="J354" s="39" t="s">
        <v>13</v>
      </c>
      <c r="K354" s="124"/>
      <c r="L354" s="128" t="s">
        <v>11</v>
      </c>
      <c r="M354" s="128" t="s">
        <v>12</v>
      </c>
      <c r="N354" s="122" t="s">
        <v>13</v>
      </c>
      <c r="O354" s="1"/>
      <c r="P354" s="1"/>
      <c r="Q354" s="1"/>
      <c r="R354" s="1"/>
      <c r="S354" s="1"/>
      <c r="AG354" s="7"/>
      <c r="AN354" s="1"/>
    </row>
    <row r="355" spans="4:40" ht="12.95" customHeight="1" x14ac:dyDescent="0.15">
      <c r="D355" s="188" t="s">
        <v>91</v>
      </c>
      <c r="E355" s="189"/>
      <c r="F355" s="190"/>
      <c r="G355" s="22">
        <f>H355+I355+J355</f>
        <v>495</v>
      </c>
      <c r="H355" s="23">
        <v>38</v>
      </c>
      <c r="I355" s="23">
        <v>125</v>
      </c>
      <c r="J355" s="24">
        <v>332</v>
      </c>
      <c r="K355" s="22">
        <f>L355+M355+N355</f>
        <v>519</v>
      </c>
      <c r="L355" s="23">
        <v>57</v>
      </c>
      <c r="M355" s="23">
        <v>147</v>
      </c>
      <c r="N355" s="23">
        <v>315</v>
      </c>
      <c r="O355" s="1"/>
      <c r="P355" s="1"/>
      <c r="Q355" s="1"/>
      <c r="R355" s="1"/>
      <c r="S355" s="1"/>
      <c r="T355" s="1" t="s">
        <v>91</v>
      </c>
      <c r="U355" s="89">
        <v>0.217</v>
      </c>
      <c r="AG355" s="7"/>
      <c r="AN355" s="1"/>
    </row>
    <row r="356" spans="4:40" ht="12.95" customHeight="1" x14ac:dyDescent="0.15">
      <c r="D356" s="191"/>
      <c r="E356" s="192"/>
      <c r="F356" s="193"/>
      <c r="G356" s="40">
        <f>ROUND(G355/(G$355+G$357+G$359+G$361+G$363+G$365+G$367+G$369),3)</f>
        <v>0.217</v>
      </c>
      <c r="H356" s="41">
        <f>ROUND(H355/(H$355+H$357+H$359+H$361+H$363+H$365+H$367+H$369),3)</f>
        <v>0.23899999999999999</v>
      </c>
      <c r="I356" s="41">
        <f>ROUND(I355/(I$355+I$357+I$359+I$361+I$363+I$365+I$367+I$369),3)</f>
        <v>0.20300000000000001</v>
      </c>
      <c r="J356" s="42">
        <f t="shared" ref="J356" si="361">ROUND(J355/(J$355+J$357+J$359+J$361+J$363+J$365+J$367+J$369),3)</f>
        <v>0.221</v>
      </c>
      <c r="K356" s="40">
        <f>ROUND(K355/(K$355+K$357+K$359+K$361+K$363+K$365+K$367+K$369),3)</f>
        <v>0.216</v>
      </c>
      <c r="L356" s="41">
        <f>ROUND(L355/(L$355+L$357+L$359+L$361+L$363+L$365+L$367+L$369),3)</f>
        <v>0.253</v>
      </c>
      <c r="M356" s="41">
        <f>ROUND(M355/(M$355+M$357+M$359+M$361+M$363+M$365+M$367+M$369),3)</f>
        <v>0.2</v>
      </c>
      <c r="N356" s="41">
        <f t="shared" ref="N356" si="362">ROUND(N355/(N$355+N$357+N$359+N$361+N$363+N$365+N$367+N$369),3)</f>
        <v>0.219</v>
      </c>
      <c r="O356" s="1"/>
      <c r="P356" s="1"/>
      <c r="Q356" s="1"/>
      <c r="R356" s="1"/>
      <c r="S356" s="1"/>
      <c r="T356" s="1" t="s">
        <v>92</v>
      </c>
      <c r="U356" s="89">
        <v>0.193</v>
      </c>
      <c r="AG356" s="7"/>
      <c r="AN356" s="1"/>
    </row>
    <row r="357" spans="4:40" ht="12.95" customHeight="1" x14ac:dyDescent="0.15">
      <c r="D357" s="244" t="s">
        <v>92</v>
      </c>
      <c r="E357" s="245"/>
      <c r="F357" s="250"/>
      <c r="G357" s="22">
        <f>H357+I357+J357</f>
        <v>441</v>
      </c>
      <c r="H357" s="23">
        <v>26</v>
      </c>
      <c r="I357" s="23">
        <v>123</v>
      </c>
      <c r="J357" s="24">
        <v>292</v>
      </c>
      <c r="K357" s="22">
        <f>L357+M357+N357</f>
        <v>505</v>
      </c>
      <c r="L357" s="23">
        <v>40</v>
      </c>
      <c r="M357" s="23">
        <v>158</v>
      </c>
      <c r="N357" s="23">
        <v>307</v>
      </c>
      <c r="O357" s="1"/>
      <c r="P357" s="1"/>
      <c r="Q357" s="1"/>
      <c r="R357" s="1"/>
      <c r="S357" s="1"/>
      <c r="T357" s="90" t="s">
        <v>211</v>
      </c>
      <c r="U357" s="89">
        <v>0.16800000000000001</v>
      </c>
      <c r="AG357" s="7"/>
      <c r="AN357" s="1"/>
    </row>
    <row r="358" spans="4:40" ht="12.95" customHeight="1" x14ac:dyDescent="0.15">
      <c r="D358" s="246"/>
      <c r="E358" s="247"/>
      <c r="F358" s="251"/>
      <c r="G358" s="40">
        <f>ROUND(G357/(G$355+G$357+G$359+G$361+G$363+G$365+G$367+G$369),3)</f>
        <v>0.193</v>
      </c>
      <c r="H358" s="41">
        <f>ROUND(H357/(H$355+H$357+H$359+H$361+H$363+H$365+H$367+H$369),3)</f>
        <v>0.16400000000000001</v>
      </c>
      <c r="I358" s="41">
        <f t="shared" ref="I358:J358" si="363">ROUND(I357/(I$355+I$357+I$359+I$361+I$363+I$365+I$367+I$369),3)</f>
        <v>0.2</v>
      </c>
      <c r="J358" s="42">
        <f t="shared" si="363"/>
        <v>0.19400000000000001</v>
      </c>
      <c r="K358" s="40">
        <f>ROUND(K357/(K$355+K$357+K$359+K$361+K$363+K$365+K$367+K$369),3)-0.001</f>
        <v>0.21</v>
      </c>
      <c r="L358" s="41">
        <f>ROUND(L357/(L$355+L$357+L$359+L$361+L$363+L$365+L$367+L$369),3)</f>
        <v>0.17799999999999999</v>
      </c>
      <c r="M358" s="41">
        <f t="shared" ref="M358:N358" si="364">ROUND(M357/(M$355+M$357+M$359+M$361+M$363+M$365+M$367+M$369),3)</f>
        <v>0.215</v>
      </c>
      <c r="N358" s="41">
        <f t="shared" si="364"/>
        <v>0.21299999999999999</v>
      </c>
      <c r="O358" s="1"/>
      <c r="P358" s="1"/>
      <c r="Q358" s="1"/>
      <c r="R358" s="1"/>
      <c r="S358" s="1"/>
      <c r="T358" s="1" t="s">
        <v>93</v>
      </c>
      <c r="U358" s="89">
        <v>0.14599999999999999</v>
      </c>
      <c r="AG358" s="7"/>
      <c r="AN358" s="1"/>
    </row>
    <row r="359" spans="4:40" ht="12.95" customHeight="1" x14ac:dyDescent="0.15">
      <c r="D359" s="209" t="s">
        <v>94</v>
      </c>
      <c r="E359" s="189"/>
      <c r="F359" s="190"/>
      <c r="G359" s="22">
        <f>H359+I359+J359</f>
        <v>382</v>
      </c>
      <c r="H359" s="23">
        <v>30</v>
      </c>
      <c r="I359" s="23">
        <v>104</v>
      </c>
      <c r="J359" s="24">
        <v>248</v>
      </c>
      <c r="K359" s="22">
        <f>L359+M359+N359</f>
        <v>407</v>
      </c>
      <c r="L359" s="23">
        <v>38</v>
      </c>
      <c r="M359" s="23">
        <v>124</v>
      </c>
      <c r="N359" s="23">
        <v>245</v>
      </c>
      <c r="O359" s="1"/>
      <c r="P359" s="1"/>
      <c r="Q359" s="1"/>
      <c r="R359" s="1"/>
      <c r="S359" s="1"/>
      <c r="T359" s="90" t="s">
        <v>212</v>
      </c>
      <c r="U359" s="89">
        <v>0.114</v>
      </c>
      <c r="AG359" s="7"/>
      <c r="AN359" s="1"/>
    </row>
    <row r="360" spans="4:40" ht="12.95" customHeight="1" x14ac:dyDescent="0.15">
      <c r="D360" s="191"/>
      <c r="E360" s="192"/>
      <c r="F360" s="193"/>
      <c r="G360" s="40">
        <f>ROUND(G359/(G$355+G$357+G$359+G$361+G$363+G$365+G$367+G$369),3)</f>
        <v>0.16800000000000001</v>
      </c>
      <c r="H360" s="41">
        <f>ROUND(H359/(H$355+H$357+H$359+H$361+H$363+H$365+H$367+H$369),3)</f>
        <v>0.189</v>
      </c>
      <c r="I360" s="41">
        <f t="shared" ref="I360:J360" si="365">ROUND(I359/(I$355+I$357+I$359+I$361+I$363+I$365+I$367+I$369),3)</f>
        <v>0.16900000000000001</v>
      </c>
      <c r="J360" s="42">
        <f t="shared" si="365"/>
        <v>0.16500000000000001</v>
      </c>
      <c r="K360" s="40">
        <f>ROUND(K359/(K$355+K$357+K$359+K$361+K$363+K$365+K$367+K$369),3)</f>
        <v>0.17</v>
      </c>
      <c r="L360" s="41">
        <f>ROUND(L359/(L$355+L$357+L$359+L$361+L$363+L$365+L$367+L$369),3)</f>
        <v>0.16900000000000001</v>
      </c>
      <c r="M360" s="41">
        <f t="shared" ref="M360:N360" si="366">ROUND(M359/(M$355+M$357+M$359+M$361+M$363+M$365+M$367+M$369),3)</f>
        <v>0.16900000000000001</v>
      </c>
      <c r="N360" s="41">
        <f t="shared" si="366"/>
        <v>0.17</v>
      </c>
      <c r="O360" s="1"/>
      <c r="P360" s="1"/>
      <c r="Q360" s="1"/>
      <c r="R360" s="1"/>
      <c r="S360" s="1"/>
      <c r="T360" s="1" t="s">
        <v>96</v>
      </c>
      <c r="U360" s="89">
        <v>9.0999999999999998E-2</v>
      </c>
      <c r="AG360" s="7"/>
      <c r="AN360" s="1"/>
    </row>
    <row r="361" spans="4:40" ht="12.95" customHeight="1" x14ac:dyDescent="0.15">
      <c r="D361" s="244" t="s">
        <v>93</v>
      </c>
      <c r="E361" s="245"/>
      <c r="F361" s="250"/>
      <c r="G361" s="22">
        <f>H361+I361+J361</f>
        <v>333</v>
      </c>
      <c r="H361" s="23">
        <v>11</v>
      </c>
      <c r="I361" s="23">
        <v>94</v>
      </c>
      <c r="J361" s="24">
        <v>228</v>
      </c>
      <c r="K361" s="22">
        <f>L361+M361+N361</f>
        <v>336</v>
      </c>
      <c r="L361" s="23">
        <v>19</v>
      </c>
      <c r="M361" s="23">
        <v>110</v>
      </c>
      <c r="N361" s="23">
        <v>207</v>
      </c>
      <c r="O361" s="1"/>
      <c r="P361" s="1"/>
      <c r="Q361" s="1"/>
      <c r="R361" s="1"/>
      <c r="S361" s="1"/>
      <c r="T361" s="1" t="s">
        <v>95</v>
      </c>
      <c r="U361" s="89">
        <v>4.1000000000000002E-2</v>
      </c>
      <c r="AG361" s="7"/>
      <c r="AN361" s="1"/>
    </row>
    <row r="362" spans="4:40" ht="12.95" customHeight="1" x14ac:dyDescent="0.15">
      <c r="D362" s="246"/>
      <c r="E362" s="247"/>
      <c r="F362" s="251"/>
      <c r="G362" s="40">
        <f>ROUND(G361/(G$355+G$357+G$359+G$361+G$363+G$365+G$367+G$369),3)</f>
        <v>0.14599999999999999</v>
      </c>
      <c r="H362" s="41">
        <f>ROUND(H361/(H$355+H$357+H$359+H$361+H$363+H$365+H$367+H$369),3)</f>
        <v>6.9000000000000006E-2</v>
      </c>
      <c r="I362" s="41">
        <f t="shared" ref="I362:J362" si="367">ROUND(I361/(I$355+I$357+I$359+I$361+I$363+I$365+I$367+I$369),3)</f>
        <v>0.153</v>
      </c>
      <c r="J362" s="42">
        <f t="shared" si="367"/>
        <v>0.151</v>
      </c>
      <c r="K362" s="40">
        <f>ROUND(K361/(K$355+K$357+K$359+K$361+K$363+K$365+K$367+K$369),3)</f>
        <v>0.14000000000000001</v>
      </c>
      <c r="L362" s="41">
        <f>ROUND(L361/(L$355+L$357+L$359+L$361+L$363+L$365+L$367+L$369),3)</f>
        <v>8.4000000000000005E-2</v>
      </c>
      <c r="M362" s="41">
        <f t="shared" ref="M362:N362" si="368">ROUND(M361/(M$355+M$357+M$359+M$361+M$363+M$365+M$367+M$369),3)</f>
        <v>0.15</v>
      </c>
      <c r="N362" s="41">
        <f t="shared" si="368"/>
        <v>0.14399999999999999</v>
      </c>
      <c r="O362" s="1"/>
      <c r="P362" s="1"/>
      <c r="Q362" s="1"/>
      <c r="R362" s="1"/>
      <c r="S362" s="1"/>
      <c r="T362" s="1" t="s">
        <v>88</v>
      </c>
      <c r="U362" s="89">
        <v>2.9000000000000001E-2</v>
      </c>
      <c r="AG362" s="7"/>
      <c r="AN362" s="1"/>
    </row>
    <row r="363" spans="4:40" ht="12.95" customHeight="1" x14ac:dyDescent="0.15">
      <c r="D363" s="244" t="s">
        <v>1</v>
      </c>
      <c r="E363" s="245"/>
      <c r="F363" s="250"/>
      <c r="G363" s="22">
        <f>H363+I363+J363</f>
        <v>260</v>
      </c>
      <c r="H363" s="23">
        <v>11</v>
      </c>
      <c r="I363" s="23">
        <v>77</v>
      </c>
      <c r="J363" s="24">
        <v>172</v>
      </c>
      <c r="K363" s="22">
        <f>L363+M363+N363</f>
        <v>278</v>
      </c>
      <c r="L363" s="23">
        <v>26</v>
      </c>
      <c r="M363" s="23">
        <v>98</v>
      </c>
      <c r="N363" s="23">
        <v>154</v>
      </c>
      <c r="O363" s="1"/>
      <c r="P363" s="1"/>
      <c r="Q363" s="1"/>
      <c r="R363" s="1"/>
      <c r="S363" s="1"/>
      <c r="AG363" s="7"/>
      <c r="AN363" s="1"/>
    </row>
    <row r="364" spans="4:40" ht="12.95" customHeight="1" x14ac:dyDescent="0.15">
      <c r="D364" s="246"/>
      <c r="E364" s="247"/>
      <c r="F364" s="251"/>
      <c r="G364" s="40">
        <f>ROUND(G363/(G$355+G$357+G$359+G$361+G$363+G$365+G$367+G$369),3)</f>
        <v>0.114</v>
      </c>
      <c r="H364" s="41">
        <f>ROUND(H363/(H$355+H$357+H$359+H$361+H$363+H$365+H$367+H$369),3)</f>
        <v>6.9000000000000006E-2</v>
      </c>
      <c r="I364" s="41">
        <f>ROUND(I363/(I$355+I$357+I$359+I$361+I$363+I$365+I$367+I$369),3)</f>
        <v>0.125</v>
      </c>
      <c r="J364" s="42">
        <f t="shared" ref="J364" si="369">ROUND(J363/(J$355+J$357+J$359+J$361+J$363+J$365+J$367+J$369),3)</f>
        <v>0.114</v>
      </c>
      <c r="K364" s="40">
        <f>ROUND(K363/(K$355+K$357+K$359+K$361+K$363+K$365+K$367+K$369),3)</f>
        <v>0.11600000000000001</v>
      </c>
      <c r="L364" s="41">
        <f>ROUND(L363/(L$355+L$357+L$359+L$361+L$363+L$365+L$367+L$369),3)</f>
        <v>0.11600000000000001</v>
      </c>
      <c r="M364" s="41">
        <f>ROUND(M363/(M$355+M$357+M$359+M$361+M$363+M$365+M$367+M$369),3)-0.001</f>
        <v>0.13300000000000001</v>
      </c>
      <c r="N364" s="41">
        <f t="shared" ref="N364" si="370">ROUND(N363/(N$355+N$357+N$359+N$361+N$363+N$365+N$367+N$369),3)</f>
        <v>0.107</v>
      </c>
      <c r="O364" s="1"/>
      <c r="P364" s="1"/>
      <c r="Q364" s="1"/>
      <c r="R364" s="1"/>
      <c r="S364" s="1"/>
      <c r="AG364" s="7"/>
      <c r="AN364" s="1"/>
    </row>
    <row r="365" spans="4:40" ht="12.95" customHeight="1" x14ac:dyDescent="0.15">
      <c r="D365" s="209" t="s">
        <v>96</v>
      </c>
      <c r="E365" s="189"/>
      <c r="F365" s="190"/>
      <c r="G365" s="22">
        <f>H365+I365+J365</f>
        <v>208</v>
      </c>
      <c r="H365" s="23">
        <v>20</v>
      </c>
      <c r="I365" s="23">
        <v>54</v>
      </c>
      <c r="J365" s="24">
        <v>134</v>
      </c>
      <c r="K365" s="22">
        <f>L365+M365+N365</f>
        <v>187</v>
      </c>
      <c r="L365" s="23">
        <v>18</v>
      </c>
      <c r="M365" s="23">
        <v>52</v>
      </c>
      <c r="N365" s="23">
        <v>117</v>
      </c>
      <c r="O365" s="1"/>
      <c r="P365" s="1"/>
      <c r="Q365" s="1"/>
      <c r="R365" s="1"/>
      <c r="S365" s="1"/>
      <c r="AG365" s="7"/>
      <c r="AN365" s="1"/>
    </row>
    <row r="366" spans="4:40" ht="12.95" customHeight="1" x14ac:dyDescent="0.15">
      <c r="D366" s="191"/>
      <c r="E366" s="192"/>
      <c r="F366" s="193"/>
      <c r="G366" s="40">
        <f>ROUND(G365/(G$355+G$357+G$359+G$361+G$363+G$365+G$367+G$369),3)</f>
        <v>9.0999999999999998E-2</v>
      </c>
      <c r="H366" s="41">
        <f>ROUND(H365/(H$355+H$357+H$359+H$361+H$363+H$365+H$367+H$369),3)</f>
        <v>0.126</v>
      </c>
      <c r="I366" s="41">
        <f>ROUND(I365/(I$355+I$357+I$359+I$361+I$363+I$365+I$367+I$369),3)</f>
        <v>8.7999999999999995E-2</v>
      </c>
      <c r="J366" s="42">
        <f t="shared" ref="J366" si="371">ROUND(J365/(J$355+J$357+J$359+J$361+J$363+J$365+J$367+J$369),3)</f>
        <v>8.8999999999999996E-2</v>
      </c>
      <c r="K366" s="40">
        <f>ROUND(K365/(K$355+K$357+K$359+K$361+K$363+K$365+K$367+K$369),3)</f>
        <v>7.8E-2</v>
      </c>
      <c r="L366" s="41">
        <f>ROUND(L365/(L$355+L$357+L$359+L$361+L$363+L$365+L$367+L$369),3)</f>
        <v>0.08</v>
      </c>
      <c r="M366" s="41">
        <f>ROUND(M365/(M$355+M$357+M$359+M$361+M$363+M$365+M$367+M$369),3)</f>
        <v>7.0999999999999994E-2</v>
      </c>
      <c r="N366" s="41">
        <f t="shared" ref="N366" si="372">ROUND(N365/(N$355+N$357+N$359+N$361+N$363+N$365+N$367+N$369),3)</f>
        <v>8.1000000000000003E-2</v>
      </c>
      <c r="O366" s="1"/>
      <c r="P366" s="1"/>
      <c r="Q366" s="1"/>
      <c r="R366" s="1"/>
      <c r="S366" s="1"/>
      <c r="AG366" s="7"/>
      <c r="AN366" s="1"/>
    </row>
    <row r="367" spans="4:40" ht="12.95" customHeight="1" x14ac:dyDescent="0.15">
      <c r="D367" s="209" t="s">
        <v>95</v>
      </c>
      <c r="E367" s="189"/>
      <c r="F367" s="190"/>
      <c r="G367" s="22">
        <f>H367+I367+J367</f>
        <v>94</v>
      </c>
      <c r="H367" s="23">
        <v>15</v>
      </c>
      <c r="I367" s="23">
        <v>20</v>
      </c>
      <c r="J367" s="24">
        <v>59</v>
      </c>
      <c r="K367" s="22">
        <f>L367+M367+N367</f>
        <v>107</v>
      </c>
      <c r="L367" s="23">
        <v>20</v>
      </c>
      <c r="M367" s="23">
        <v>27</v>
      </c>
      <c r="N367" s="23">
        <v>60</v>
      </c>
      <c r="O367" s="1"/>
      <c r="P367" s="1"/>
      <c r="Q367" s="1"/>
      <c r="R367" s="1"/>
      <c r="S367" s="1"/>
      <c r="AG367" s="7"/>
      <c r="AN367" s="1"/>
    </row>
    <row r="368" spans="4:40" ht="12.95" customHeight="1" x14ac:dyDescent="0.15">
      <c r="D368" s="191"/>
      <c r="E368" s="192"/>
      <c r="F368" s="193"/>
      <c r="G368" s="40">
        <f>ROUND(G367/(G$355+G$357+G$359+G$361+G$363+G$365+G$367+G$369),3)</f>
        <v>4.1000000000000002E-2</v>
      </c>
      <c r="H368" s="41">
        <f>ROUND(H367/(H$355+H$357+H$359+H$361+H$363+H$365+H$367+H$369),3)</f>
        <v>9.4E-2</v>
      </c>
      <c r="I368" s="41">
        <f t="shared" ref="I368:J368" si="373">ROUND(I367/(I$355+I$357+I$359+I$361+I$363+I$365+I$367+I$369),3)</f>
        <v>3.2000000000000001E-2</v>
      </c>
      <c r="J368" s="42">
        <f t="shared" si="373"/>
        <v>3.9E-2</v>
      </c>
      <c r="K368" s="40">
        <f>ROUND(K367/(K$355+K$357+K$359+K$361+K$363+K$365+K$367+K$369),3)</f>
        <v>4.4999999999999998E-2</v>
      </c>
      <c r="L368" s="41">
        <f>ROUND(L367/(L$355+L$357+L$359+L$361+L$363+L$365+L$367+L$369),3)</f>
        <v>8.8999999999999996E-2</v>
      </c>
      <c r="M368" s="41">
        <f t="shared" ref="M368:N368" si="374">ROUND(M367/(M$355+M$357+M$359+M$361+M$363+M$365+M$367+M$369),3)</f>
        <v>3.6999999999999998E-2</v>
      </c>
      <c r="N368" s="41">
        <f t="shared" si="374"/>
        <v>4.2000000000000003E-2</v>
      </c>
      <c r="O368" s="1"/>
      <c r="P368" s="1"/>
      <c r="Q368" s="1"/>
      <c r="R368" s="1"/>
      <c r="S368" s="1"/>
      <c r="AG368" s="7"/>
      <c r="AN368" s="1"/>
    </row>
    <row r="369" spans="2:41" ht="12.95" customHeight="1" x14ac:dyDescent="0.15">
      <c r="D369" s="188" t="s">
        <v>88</v>
      </c>
      <c r="E369" s="189"/>
      <c r="F369" s="190"/>
      <c r="G369" s="22">
        <f>H369+I369+J369</f>
        <v>67</v>
      </c>
      <c r="H369" s="23">
        <v>8</v>
      </c>
      <c r="I369" s="23">
        <v>19</v>
      </c>
      <c r="J369" s="24">
        <v>40</v>
      </c>
      <c r="K369" s="22">
        <f>L369+M369+N369</f>
        <v>59</v>
      </c>
      <c r="L369" s="23">
        <v>7</v>
      </c>
      <c r="M369" s="23">
        <v>18</v>
      </c>
      <c r="N369" s="23">
        <v>34</v>
      </c>
      <c r="O369" s="1"/>
      <c r="P369" s="1"/>
      <c r="Q369" s="1"/>
      <c r="R369" s="1"/>
      <c r="S369" s="1"/>
      <c r="AG369" s="7"/>
      <c r="AN369" s="1"/>
    </row>
    <row r="370" spans="2:41" ht="12.95" customHeight="1" x14ac:dyDescent="0.15">
      <c r="D370" s="191"/>
      <c r="E370" s="192"/>
      <c r="F370" s="193"/>
      <c r="G370" s="40">
        <f>ROUND(G369/(G$355+G$357+G$359+G$361+G$363+G$365+G$367+G$369),3)</f>
        <v>2.9000000000000001E-2</v>
      </c>
      <c r="H370" s="41">
        <f>ROUND(H369/(H$355+H$357+H$359+H$361+H$363+H$365+H$367+H$369),3)</f>
        <v>0.05</v>
      </c>
      <c r="I370" s="41">
        <f t="shared" ref="I370:J370" si="375">ROUND(I369/(I$355+I$357+I$359+I$361+I$363+I$365+I$367+I$369),3)</f>
        <v>3.1E-2</v>
      </c>
      <c r="J370" s="42">
        <f t="shared" si="375"/>
        <v>2.7E-2</v>
      </c>
      <c r="K370" s="40">
        <f>ROUND(K369/(K$355+K$357+K$359+K$361+K$363+K$365+K$367+K$369),3)</f>
        <v>2.5000000000000001E-2</v>
      </c>
      <c r="L370" s="41">
        <f>ROUND(L369/(L$355+L$357+L$359+L$361+L$363+L$365+L$367+L$369),3)</f>
        <v>3.1E-2</v>
      </c>
      <c r="M370" s="41">
        <f t="shared" ref="M370:N370" si="376">ROUND(M369/(M$355+M$357+M$359+M$361+M$363+M$365+M$367+M$369),3)</f>
        <v>2.5000000000000001E-2</v>
      </c>
      <c r="N370" s="41">
        <f t="shared" si="376"/>
        <v>2.4E-2</v>
      </c>
      <c r="O370" s="1"/>
      <c r="P370" s="1"/>
      <c r="Q370" s="1"/>
      <c r="R370" s="1"/>
      <c r="S370" s="1"/>
      <c r="AG370" s="7"/>
      <c r="AN370" s="1"/>
    </row>
    <row r="371" spans="2:41" ht="12.95" customHeight="1" x14ac:dyDescent="0.15">
      <c r="D371" s="203" t="s">
        <v>20</v>
      </c>
      <c r="E371" s="197"/>
      <c r="F371" s="248"/>
      <c r="G371" s="22">
        <f>G355+G357+G359+G361+G363+G365+G367+G369</f>
        <v>2280</v>
      </c>
      <c r="H371" s="23">
        <f>H355+H357+H359+H361+H363+H365+H367+H369</f>
        <v>159</v>
      </c>
      <c r="I371" s="23">
        <f t="shared" ref="I371:J372" si="377">I355+I357+I359+I361+I363+I365+I367+I369</f>
        <v>616</v>
      </c>
      <c r="J371" s="24">
        <f t="shared" si="377"/>
        <v>1505</v>
      </c>
      <c r="K371" s="22">
        <f>K355+K357+K359+K361+K363+K365+K367+K369</f>
        <v>2398</v>
      </c>
      <c r="L371" s="23">
        <f>L355+L357+L359+L361+L363+L365+L367+L369</f>
        <v>225</v>
      </c>
      <c r="M371" s="23">
        <f t="shared" ref="M371:N371" si="378">M355+M357+M359+M361+M363+M365+M367+M369</f>
        <v>734</v>
      </c>
      <c r="N371" s="23">
        <f t="shared" si="378"/>
        <v>1439</v>
      </c>
      <c r="O371" s="1"/>
      <c r="P371" s="1"/>
      <c r="Q371" s="1"/>
      <c r="R371" s="1"/>
      <c r="S371" s="1"/>
      <c r="AG371" s="7"/>
      <c r="AN371" s="1"/>
    </row>
    <row r="372" spans="2:41" ht="13.5" customHeight="1" thickBot="1" x14ac:dyDescent="0.2">
      <c r="D372" s="210"/>
      <c r="E372" s="211"/>
      <c r="F372" s="249"/>
      <c r="G372" s="133">
        <f>G356+G358+G360+G362+G364+G366+G368+G370</f>
        <v>0.99900000000000011</v>
      </c>
      <c r="H372" s="134">
        <f>H356+H358+H360+H362+H364+H366+H368+H370</f>
        <v>1</v>
      </c>
      <c r="I372" s="134">
        <f>I356+I358+I360+I362+I364+I366+I368+I370</f>
        <v>1.0010000000000001</v>
      </c>
      <c r="J372" s="135">
        <f t="shared" si="377"/>
        <v>1</v>
      </c>
      <c r="K372" s="137">
        <f>K356+K358+K360+K362+K364+K366+K368+K370</f>
        <v>1</v>
      </c>
      <c r="L372" s="136">
        <f>L356+L358+L360+L362+L364+L366+L368+L370</f>
        <v>0.99999999999999989</v>
      </c>
      <c r="M372" s="136">
        <f>M356+M358+M360+M362+M364+M366+M368+M370</f>
        <v>1</v>
      </c>
      <c r="N372" s="136">
        <f t="shared" ref="N372" si="379">N356+N358+N360+N362+N364+N366+N368+N370</f>
        <v>1</v>
      </c>
      <c r="O372" s="1"/>
      <c r="P372" s="1"/>
      <c r="Q372" s="1"/>
      <c r="R372" s="1"/>
      <c r="S372" s="1"/>
      <c r="AG372" s="7"/>
      <c r="AN372" s="1"/>
    </row>
    <row r="373" spans="2:41" x14ac:dyDescent="0.15">
      <c r="D373" s="82"/>
      <c r="E373" s="129"/>
      <c r="F373" s="74"/>
      <c r="G373" s="74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0"/>
      <c r="S373" s="50"/>
      <c r="T373" s="50"/>
      <c r="U373" s="12"/>
      <c r="V373" s="50"/>
      <c r="W373" s="34"/>
      <c r="X373" s="2"/>
      <c r="AN373" s="1"/>
      <c r="AO373" s="7"/>
    </row>
    <row r="374" spans="2:41" x14ac:dyDescent="0.15">
      <c r="D374" s="82"/>
      <c r="E374" s="129"/>
      <c r="F374" s="74"/>
      <c r="G374" s="74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0"/>
      <c r="S374" s="50"/>
      <c r="T374" s="50"/>
      <c r="U374" s="12"/>
      <c r="V374" s="50"/>
      <c r="W374" s="34"/>
      <c r="X374" s="2"/>
      <c r="AN374" s="1"/>
      <c r="AO374" s="7"/>
    </row>
    <row r="375" spans="2:41" x14ac:dyDescent="0.15">
      <c r="D375" s="82"/>
      <c r="E375" s="129"/>
      <c r="F375" s="74"/>
      <c r="G375" s="74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0"/>
      <c r="S375" s="50"/>
      <c r="T375" s="50"/>
      <c r="U375" s="12"/>
      <c r="V375" s="50"/>
      <c r="W375" s="34"/>
      <c r="X375" s="2"/>
      <c r="AN375" s="1"/>
      <c r="AO375" s="7"/>
    </row>
    <row r="376" spans="2:41" x14ac:dyDescent="0.15">
      <c r="B376" s="3" t="s">
        <v>146</v>
      </c>
      <c r="K376" s="5"/>
      <c r="O376" s="5"/>
    </row>
    <row r="377" spans="2:41" ht="14.25" thickBot="1" x14ac:dyDescent="0.2">
      <c r="B377" s="3"/>
      <c r="C377" s="2" t="s">
        <v>207</v>
      </c>
      <c r="K377" s="5"/>
      <c r="O377" s="5"/>
    </row>
    <row r="378" spans="2:41" ht="12.95" customHeight="1" x14ac:dyDescent="0.15">
      <c r="D378" s="203"/>
      <c r="E378" s="197"/>
      <c r="F378" s="184" t="s">
        <v>265</v>
      </c>
      <c r="G378" s="185"/>
      <c r="H378" s="185"/>
      <c r="I378" s="186"/>
      <c r="J378" s="182" t="s">
        <v>60</v>
      </c>
      <c r="K378" s="187"/>
      <c r="L378" s="187"/>
      <c r="M378" s="187"/>
      <c r="N378" s="1"/>
      <c r="O378" s="1"/>
      <c r="P378" s="1"/>
      <c r="Q378" s="1"/>
      <c r="R378" s="1"/>
      <c r="S378" s="1"/>
      <c r="AF378" s="7"/>
      <c r="AN378" s="1"/>
    </row>
    <row r="379" spans="2:41" ht="12.95" customHeight="1" x14ac:dyDescent="0.15">
      <c r="D379" s="210"/>
      <c r="E379" s="211"/>
      <c r="F379" s="124"/>
      <c r="G379" s="128" t="s">
        <v>11</v>
      </c>
      <c r="H379" s="128" t="s">
        <v>12</v>
      </c>
      <c r="I379" s="39" t="s">
        <v>13</v>
      </c>
      <c r="J379" s="124"/>
      <c r="K379" s="128" t="s">
        <v>11</v>
      </c>
      <c r="L379" s="128" t="s">
        <v>12</v>
      </c>
      <c r="M379" s="128" t="s">
        <v>13</v>
      </c>
      <c r="N379" s="1"/>
      <c r="O379" s="1"/>
      <c r="P379" s="1"/>
      <c r="Q379" s="1"/>
      <c r="R379" s="1"/>
      <c r="S379" s="1"/>
      <c r="AF379" s="7"/>
      <c r="AN379" s="1"/>
    </row>
    <row r="380" spans="2:41" ht="12.95" customHeight="1" x14ac:dyDescent="0.15">
      <c r="D380" s="188" t="s">
        <v>141</v>
      </c>
      <c r="E380" s="189"/>
      <c r="F380" s="22">
        <f>G380+H380+I380</f>
        <v>187</v>
      </c>
      <c r="G380" s="23">
        <v>6</v>
      </c>
      <c r="H380" s="23">
        <v>69</v>
      </c>
      <c r="I380" s="24">
        <v>112</v>
      </c>
      <c r="J380" s="22">
        <f>K380+L380+M380</f>
        <v>156</v>
      </c>
      <c r="K380" s="23">
        <v>3</v>
      </c>
      <c r="L380" s="23">
        <v>72</v>
      </c>
      <c r="M380" s="23">
        <v>81</v>
      </c>
      <c r="N380" s="1"/>
      <c r="O380" s="1"/>
      <c r="P380" s="1"/>
      <c r="Q380" s="1"/>
      <c r="R380" s="1"/>
      <c r="S380" s="1"/>
      <c r="T380" s="1" t="s">
        <v>142</v>
      </c>
      <c r="U380" s="6">
        <v>407</v>
      </c>
      <c r="AF380" s="7"/>
      <c r="AN380" s="1"/>
    </row>
    <row r="381" spans="2:41" ht="12.95" customHeight="1" x14ac:dyDescent="0.15">
      <c r="D381" s="191"/>
      <c r="E381" s="192"/>
      <c r="F381" s="40">
        <f>ROUND(F380/(F$380+F$382+F$384+F$386),3)</f>
        <v>0.27900000000000003</v>
      </c>
      <c r="G381" s="41">
        <f>ROUND(G380/(G$380+G$382+G$384+G$386),3)</f>
        <v>9.8000000000000004E-2</v>
      </c>
      <c r="H381" s="41">
        <f t="shared" ref="H381:I381" si="380">ROUND(H380/(H$380+H$382+H$384+H$386),3)</f>
        <v>0.371</v>
      </c>
      <c r="I381" s="42">
        <f t="shared" si="380"/>
        <v>0.26500000000000001</v>
      </c>
      <c r="J381" s="40">
        <f>ROUND(J380/(J$380+J$382+J$384+J$386),3)+0.001</f>
        <v>0.224</v>
      </c>
      <c r="K381" s="41">
        <f>ROUND(K380/(K$380+K$382+K$384+K$386),3)+0.001</f>
        <v>0.04</v>
      </c>
      <c r="L381" s="41">
        <f t="shared" ref="L381:M381" si="381">ROUND(L380/(L$380+L$382+L$384+L$386),3)</f>
        <v>0.33800000000000002</v>
      </c>
      <c r="M381" s="41">
        <f t="shared" si="381"/>
        <v>0.19800000000000001</v>
      </c>
      <c r="N381" s="1"/>
      <c r="O381" s="1"/>
      <c r="P381" s="1"/>
      <c r="Q381" s="1"/>
      <c r="R381" s="1"/>
      <c r="S381" s="1"/>
      <c r="T381" s="1" t="s">
        <v>8</v>
      </c>
      <c r="U381" s="6">
        <v>187</v>
      </c>
      <c r="AF381" s="7"/>
      <c r="AN381" s="1"/>
    </row>
    <row r="382" spans="2:41" ht="12.95" customHeight="1" x14ac:dyDescent="0.15">
      <c r="D382" s="188" t="s">
        <v>142</v>
      </c>
      <c r="E382" s="189"/>
      <c r="F382" s="22">
        <f>G382+H382+I382</f>
        <v>407</v>
      </c>
      <c r="G382" s="23">
        <v>20</v>
      </c>
      <c r="H382" s="23">
        <v>98</v>
      </c>
      <c r="I382" s="24">
        <v>289</v>
      </c>
      <c r="J382" s="22">
        <f>K382+L382+M382</f>
        <v>447</v>
      </c>
      <c r="K382" s="23">
        <v>24</v>
      </c>
      <c r="L382" s="23">
        <v>112</v>
      </c>
      <c r="M382" s="23">
        <v>311</v>
      </c>
      <c r="N382" s="1"/>
      <c r="O382" s="1"/>
      <c r="P382" s="1"/>
      <c r="Q382" s="1"/>
      <c r="R382" s="1"/>
      <c r="S382" s="1"/>
      <c r="T382" s="1" t="s">
        <v>143</v>
      </c>
      <c r="U382" s="6">
        <v>56</v>
      </c>
      <c r="AF382" s="7"/>
      <c r="AN382" s="1"/>
    </row>
    <row r="383" spans="2:41" ht="12.95" customHeight="1" x14ac:dyDescent="0.15">
      <c r="D383" s="191"/>
      <c r="E383" s="192"/>
      <c r="F383" s="40">
        <f>ROUND(F382/(F$380+F$382+F$384+F$386),3)</f>
        <v>0.60699999999999998</v>
      </c>
      <c r="G383" s="41">
        <f t="shared" ref="G383" si="382">ROUND(G382/(G$380+G$382+G$384+G$386),3)</f>
        <v>0.32800000000000001</v>
      </c>
      <c r="H383" s="41">
        <f t="shared" ref="H383" si="383">ROUND(H382/(H$380+H$382+H$384+H$386),3)</f>
        <v>0.52700000000000002</v>
      </c>
      <c r="I383" s="42">
        <f t="shared" ref="I383" si="384">ROUND(I382/(I$380+I$382+I$384+I$386),3)</f>
        <v>0.68300000000000005</v>
      </c>
      <c r="J383" s="40">
        <f>ROUND(J382/(J$380+J$382+J$384+J$386),3)</f>
        <v>0.64</v>
      </c>
      <c r="K383" s="41">
        <f t="shared" ref="K383:M383" si="385">ROUND(K382/(K$380+K$382+K$384+K$386),3)</f>
        <v>0.316</v>
      </c>
      <c r="L383" s="41">
        <f t="shared" si="385"/>
        <v>0.52600000000000002</v>
      </c>
      <c r="M383" s="41">
        <f t="shared" si="385"/>
        <v>0.76</v>
      </c>
      <c r="N383" s="1"/>
      <c r="O383" s="1"/>
      <c r="P383" s="1"/>
      <c r="Q383" s="1"/>
      <c r="R383" s="1"/>
      <c r="S383" s="1"/>
      <c r="T383" s="1" t="s">
        <v>145</v>
      </c>
      <c r="U383" s="6">
        <v>20</v>
      </c>
      <c r="AF383" s="7"/>
      <c r="AN383" s="1"/>
    </row>
    <row r="384" spans="2:41" ht="12.95" customHeight="1" x14ac:dyDescent="0.15">
      <c r="D384" s="188" t="s">
        <v>143</v>
      </c>
      <c r="E384" s="189"/>
      <c r="F384" s="22">
        <f>G384+H384+I384</f>
        <v>56</v>
      </c>
      <c r="G384" s="23">
        <v>20</v>
      </c>
      <c r="H384" s="23">
        <v>18</v>
      </c>
      <c r="I384" s="24">
        <v>18</v>
      </c>
      <c r="J384" s="22">
        <f>K384+L384+M384</f>
        <v>76</v>
      </c>
      <c r="K384" s="23">
        <v>34</v>
      </c>
      <c r="L384" s="23">
        <v>27</v>
      </c>
      <c r="M384" s="23">
        <v>15</v>
      </c>
      <c r="N384" s="1"/>
      <c r="O384" s="1"/>
      <c r="P384" s="1"/>
      <c r="Q384" s="1"/>
      <c r="R384" s="1"/>
      <c r="S384" s="1"/>
      <c r="AF384" s="7"/>
      <c r="AN384" s="1"/>
    </row>
    <row r="385" spans="2:41" ht="12.95" customHeight="1" x14ac:dyDescent="0.15">
      <c r="D385" s="191"/>
      <c r="E385" s="192"/>
      <c r="F385" s="40">
        <f>ROUND(F384/(F$380+F$382+F$384+F$386),3)</f>
        <v>8.4000000000000005E-2</v>
      </c>
      <c r="G385" s="41">
        <f t="shared" ref="G385" si="386">ROUND(G384/(G$380+G$382+G$384+G$386),3)</f>
        <v>0.32800000000000001</v>
      </c>
      <c r="H385" s="41">
        <f t="shared" ref="H385" si="387">ROUND(H384/(H$380+H$382+H$384+H$386),3)</f>
        <v>9.7000000000000003E-2</v>
      </c>
      <c r="I385" s="42">
        <f t="shared" ref="I385" si="388">ROUND(I384/(I$380+I$382+I$384+I$386),3)</f>
        <v>4.2999999999999997E-2</v>
      </c>
      <c r="J385" s="40">
        <f>ROUND(J384/(J$380+J$382+J$384+J$386),3)</f>
        <v>0.109</v>
      </c>
      <c r="K385" s="41">
        <f t="shared" ref="K385:M385" si="389">ROUND(K384/(K$380+K$382+K$384+K$386),3)</f>
        <v>0.44700000000000001</v>
      </c>
      <c r="L385" s="41">
        <f t="shared" si="389"/>
        <v>0.127</v>
      </c>
      <c r="M385" s="41">
        <f t="shared" si="389"/>
        <v>3.6999999999999998E-2</v>
      </c>
      <c r="N385" s="1"/>
      <c r="O385" s="1"/>
      <c r="P385" s="1"/>
      <c r="Q385" s="1"/>
      <c r="R385" s="1"/>
      <c r="S385" s="1"/>
      <c r="AF385" s="7"/>
      <c r="AN385" s="1"/>
    </row>
    <row r="386" spans="2:41" ht="12.95" customHeight="1" x14ac:dyDescent="0.15">
      <c r="D386" s="188" t="s">
        <v>145</v>
      </c>
      <c r="E386" s="189"/>
      <c r="F386" s="22">
        <f>G386+H386+I386</f>
        <v>20</v>
      </c>
      <c r="G386" s="23">
        <v>15</v>
      </c>
      <c r="H386" s="23">
        <v>1</v>
      </c>
      <c r="I386" s="24">
        <v>4</v>
      </c>
      <c r="J386" s="22">
        <f>K386+L386+M386</f>
        <v>19</v>
      </c>
      <c r="K386" s="23">
        <v>15</v>
      </c>
      <c r="L386" s="23">
        <v>2</v>
      </c>
      <c r="M386" s="23">
        <v>2</v>
      </c>
      <c r="N386" s="1"/>
      <c r="O386" s="1"/>
      <c r="P386" s="1"/>
      <c r="Q386" s="1"/>
      <c r="R386" s="1"/>
      <c r="S386" s="1"/>
      <c r="AF386" s="7"/>
      <c r="AN386" s="1"/>
    </row>
    <row r="387" spans="2:41" ht="12.95" customHeight="1" x14ac:dyDescent="0.15">
      <c r="D387" s="191"/>
      <c r="E387" s="192"/>
      <c r="F387" s="40">
        <f>ROUND(F386/(F$380+F$382+F$384+F$386),3)</f>
        <v>0.03</v>
      </c>
      <c r="G387" s="41">
        <f t="shared" ref="G387" si="390">ROUND(G386/(G$380+G$382+G$384+G$386),3)</f>
        <v>0.246</v>
      </c>
      <c r="H387" s="41">
        <f t="shared" ref="H387" si="391">ROUND(H386/(H$380+H$382+H$384+H$386),3)</f>
        <v>5.0000000000000001E-3</v>
      </c>
      <c r="I387" s="42">
        <f t="shared" ref="I387" si="392">ROUND(I386/(I$380+I$382+I$384+I$386),3)</f>
        <v>8.9999999999999993E-3</v>
      </c>
      <c r="J387" s="40">
        <f>ROUND(J386/(J$380+J$382+J$384+J$386),3)</f>
        <v>2.7E-2</v>
      </c>
      <c r="K387" s="41">
        <f t="shared" ref="K387:M387" si="393">ROUND(K386/(K$380+K$382+K$384+K$386),3)</f>
        <v>0.19700000000000001</v>
      </c>
      <c r="L387" s="41">
        <f t="shared" si="393"/>
        <v>8.9999999999999993E-3</v>
      </c>
      <c r="M387" s="41">
        <f t="shared" si="393"/>
        <v>5.0000000000000001E-3</v>
      </c>
      <c r="N387" s="1"/>
      <c r="O387" s="1"/>
      <c r="P387" s="1"/>
      <c r="Q387" s="1"/>
      <c r="R387" s="1"/>
      <c r="S387" s="1"/>
      <c r="AF387" s="7"/>
      <c r="AN387" s="1"/>
    </row>
    <row r="388" spans="2:41" ht="12.95" customHeight="1" x14ac:dyDescent="0.15">
      <c r="D388" s="187" t="s">
        <v>20</v>
      </c>
      <c r="E388" s="194"/>
      <c r="F388" s="22">
        <f>F380+F382+F384+F386</f>
        <v>670</v>
      </c>
      <c r="G388" s="23">
        <f t="shared" ref="G388:I388" si="394">G380+G382+G384+G386</f>
        <v>61</v>
      </c>
      <c r="H388" s="23">
        <f t="shared" si="394"/>
        <v>186</v>
      </c>
      <c r="I388" s="24">
        <f t="shared" si="394"/>
        <v>423</v>
      </c>
      <c r="J388" s="22">
        <f>J380+J382+J384+J386</f>
        <v>698</v>
      </c>
      <c r="K388" s="23">
        <f t="shared" ref="K388:M388" si="395">K380+K382+K384+K386</f>
        <v>76</v>
      </c>
      <c r="L388" s="23">
        <f t="shared" si="395"/>
        <v>213</v>
      </c>
      <c r="M388" s="23">
        <f t="shared" si="395"/>
        <v>409</v>
      </c>
      <c r="N388" s="1"/>
      <c r="O388" s="1"/>
      <c r="P388" s="1"/>
      <c r="Q388" s="1"/>
      <c r="R388" s="1"/>
      <c r="S388" s="1"/>
      <c r="AF388" s="7"/>
      <c r="AN388" s="1"/>
    </row>
    <row r="389" spans="2:41" ht="13.5" customHeight="1" thickBot="1" x14ac:dyDescent="0.2">
      <c r="D389" s="187"/>
      <c r="E389" s="194"/>
      <c r="F389" s="47">
        <f>F381+F383+F385+F387</f>
        <v>1</v>
      </c>
      <c r="G389" s="48">
        <f t="shared" ref="G389:I389" si="396">G381+G383+G385+G387</f>
        <v>1</v>
      </c>
      <c r="H389" s="48">
        <f t="shared" si="396"/>
        <v>1</v>
      </c>
      <c r="I389" s="49">
        <f t="shared" si="396"/>
        <v>1</v>
      </c>
      <c r="J389" s="40">
        <f>J381+J383+J385+J387</f>
        <v>1</v>
      </c>
      <c r="K389" s="41">
        <f t="shared" ref="K389:M389" si="397">K381+K383+K385+K387</f>
        <v>1</v>
      </c>
      <c r="L389" s="41">
        <f t="shared" si="397"/>
        <v>1</v>
      </c>
      <c r="M389" s="41">
        <f t="shared" si="397"/>
        <v>1</v>
      </c>
      <c r="N389" s="1"/>
      <c r="O389" s="1"/>
      <c r="P389" s="1"/>
      <c r="Q389" s="1"/>
      <c r="R389" s="1"/>
      <c r="S389" s="1"/>
      <c r="AF389" s="7"/>
      <c r="AN389" s="1"/>
    </row>
    <row r="390" spans="2:41" ht="13.5" customHeight="1" x14ac:dyDescent="0.15">
      <c r="D390" s="82"/>
      <c r="E390" s="129"/>
      <c r="F390" s="57"/>
      <c r="G390" s="57"/>
      <c r="H390" s="57"/>
      <c r="I390" s="57"/>
      <c r="J390" s="50"/>
      <c r="K390" s="34"/>
      <c r="N390" s="1"/>
      <c r="O390" s="1"/>
      <c r="P390" s="1"/>
      <c r="Q390" s="1"/>
      <c r="R390" s="1"/>
      <c r="S390" s="1"/>
      <c r="AF390" s="7"/>
      <c r="AN390" s="1"/>
    </row>
    <row r="391" spans="2:41" ht="13.5" customHeight="1" x14ac:dyDescent="0.15">
      <c r="D391" s="82"/>
      <c r="E391" s="129"/>
      <c r="F391" s="57"/>
      <c r="G391" s="57"/>
      <c r="H391" s="57"/>
      <c r="I391" s="57"/>
      <c r="J391" s="50"/>
      <c r="K391" s="34"/>
      <c r="N391" s="1"/>
      <c r="O391" s="1"/>
      <c r="P391" s="1"/>
      <c r="Q391" s="1"/>
      <c r="R391" s="1"/>
      <c r="S391" s="1"/>
      <c r="AF391" s="7"/>
      <c r="AN391" s="1"/>
    </row>
    <row r="392" spans="2:41" x14ac:dyDescent="0.15">
      <c r="D392" s="82"/>
      <c r="E392" s="129"/>
      <c r="F392" s="74"/>
      <c r="G392" s="74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0"/>
      <c r="S392" s="50"/>
      <c r="T392" s="50"/>
      <c r="U392" s="12"/>
      <c r="V392" s="50"/>
      <c r="W392" s="34"/>
      <c r="X392" s="2"/>
      <c r="AN392" s="1"/>
      <c r="AO392" s="7"/>
    </row>
    <row r="393" spans="2:41" ht="14.25" thickBot="1" x14ac:dyDescent="0.2">
      <c r="B393" s="3"/>
      <c r="C393" s="2" t="s">
        <v>208</v>
      </c>
      <c r="K393" s="5"/>
      <c r="O393" s="5"/>
    </row>
    <row r="394" spans="2:41" ht="12.95" customHeight="1" x14ac:dyDescent="0.15">
      <c r="D394" s="203"/>
      <c r="E394" s="197"/>
      <c r="F394" s="184" t="s">
        <v>265</v>
      </c>
      <c r="G394" s="185"/>
      <c r="H394" s="185"/>
      <c r="I394" s="186"/>
      <c r="J394" s="182" t="s">
        <v>60</v>
      </c>
      <c r="K394" s="187"/>
      <c r="L394" s="187"/>
      <c r="M394" s="187"/>
      <c r="N394" s="1"/>
      <c r="O394" s="1"/>
      <c r="P394" s="1"/>
      <c r="Q394" s="1"/>
      <c r="R394" s="1"/>
      <c r="S394" s="1"/>
      <c r="AF394" s="7"/>
      <c r="AN394" s="1"/>
    </row>
    <row r="395" spans="2:41" ht="12.95" customHeight="1" x14ac:dyDescent="0.15">
      <c r="D395" s="210"/>
      <c r="E395" s="211"/>
      <c r="F395" s="124"/>
      <c r="G395" s="128" t="s">
        <v>11</v>
      </c>
      <c r="H395" s="128" t="s">
        <v>12</v>
      </c>
      <c r="I395" s="39" t="s">
        <v>13</v>
      </c>
      <c r="J395" s="124"/>
      <c r="K395" s="128" t="s">
        <v>11</v>
      </c>
      <c r="L395" s="128" t="s">
        <v>12</v>
      </c>
      <c r="M395" s="128" t="s">
        <v>13</v>
      </c>
      <c r="N395" s="1"/>
      <c r="O395" s="1"/>
      <c r="P395" s="1"/>
      <c r="Q395" s="1"/>
      <c r="R395" s="1"/>
      <c r="S395" s="1"/>
      <c r="AF395" s="7"/>
      <c r="AN395" s="1"/>
    </row>
    <row r="396" spans="2:41" ht="12.95" customHeight="1" x14ac:dyDescent="0.15">
      <c r="D396" s="188" t="s">
        <v>141</v>
      </c>
      <c r="E396" s="189"/>
      <c r="F396" s="22">
        <f>G396+H396+I396</f>
        <v>26</v>
      </c>
      <c r="G396" s="23">
        <v>3</v>
      </c>
      <c r="H396" s="23">
        <v>6</v>
      </c>
      <c r="I396" s="24">
        <v>17</v>
      </c>
      <c r="J396" s="22">
        <f>K396+L396+M396</f>
        <v>103</v>
      </c>
      <c r="K396" s="23">
        <v>19</v>
      </c>
      <c r="L396" s="23">
        <v>39</v>
      </c>
      <c r="M396" s="23">
        <v>45</v>
      </c>
      <c r="N396" s="1"/>
      <c r="O396" s="1"/>
      <c r="P396" s="1"/>
      <c r="Q396" s="1"/>
      <c r="R396" s="1"/>
      <c r="S396" s="1"/>
      <c r="T396" s="1" t="s">
        <v>8</v>
      </c>
      <c r="U396" s="6">
        <v>39</v>
      </c>
      <c r="AF396" s="7"/>
      <c r="AN396" s="1"/>
    </row>
    <row r="397" spans="2:41" ht="12.95" customHeight="1" x14ac:dyDescent="0.15">
      <c r="D397" s="191"/>
      <c r="E397" s="192"/>
      <c r="F397" s="40">
        <f>ROUND(F396/(F$396+F$398+F$400+F$402+F$404+F$406+F$408),3)</f>
        <v>3.9E-2</v>
      </c>
      <c r="G397" s="41">
        <f t="shared" ref="G397:H397" si="398">ROUND(G396/(G$396+G$398+G$400+G$402+G$404+G$406+G$408),3)</f>
        <v>4.9000000000000002E-2</v>
      </c>
      <c r="H397" s="41">
        <f t="shared" si="398"/>
        <v>3.2000000000000001E-2</v>
      </c>
      <c r="I397" s="42">
        <f>ROUND(I396/(I$396+I$398+I$400+I$402+I$404+I$406+I$408),3)-0.001</f>
        <v>3.9E-2</v>
      </c>
      <c r="J397" s="40">
        <f>ROUND(J396/(J$396+J$398+J$400+J$402+J$404+J$406+J$408),3)</f>
        <v>0.155</v>
      </c>
      <c r="K397" s="41">
        <f t="shared" ref="K397:L397" si="399">ROUND(K396/(K$396+K$398+K$400+K$402+K$404+K$406+K$408),3)</f>
        <v>0.317</v>
      </c>
      <c r="L397" s="41">
        <f t="shared" si="399"/>
        <v>0.19500000000000001</v>
      </c>
      <c r="M397" s="41">
        <f>ROUND(M396/(M$396+M$398+M$400+M$402+M$404+M$406+M$408),3)-0.001</f>
        <v>0.111</v>
      </c>
      <c r="N397" s="1"/>
      <c r="O397" s="1"/>
      <c r="P397" s="1"/>
      <c r="Q397" s="1"/>
      <c r="R397" s="1"/>
      <c r="S397" s="1"/>
      <c r="T397" s="1" t="s">
        <v>142</v>
      </c>
      <c r="U397" s="6">
        <v>328</v>
      </c>
      <c r="AF397" s="7"/>
      <c r="AN397" s="1"/>
    </row>
    <row r="398" spans="2:41" ht="12.95" customHeight="1" x14ac:dyDescent="0.15">
      <c r="D398" s="188" t="s">
        <v>142</v>
      </c>
      <c r="E398" s="189"/>
      <c r="F398" s="22">
        <f>G398+H398+I398</f>
        <v>220</v>
      </c>
      <c r="G398" s="23">
        <v>29</v>
      </c>
      <c r="H398" s="23">
        <v>67</v>
      </c>
      <c r="I398" s="24">
        <v>124</v>
      </c>
      <c r="J398" s="22">
        <f>K398+L398+M398</f>
        <v>143</v>
      </c>
      <c r="K398" s="23">
        <v>15</v>
      </c>
      <c r="L398" s="23">
        <v>37</v>
      </c>
      <c r="M398" s="23">
        <v>91</v>
      </c>
      <c r="N398" s="1"/>
      <c r="O398" s="1"/>
      <c r="P398" s="1"/>
      <c r="Q398" s="1"/>
      <c r="R398" s="1"/>
      <c r="S398" s="1"/>
      <c r="T398" s="1" t="s">
        <v>143</v>
      </c>
      <c r="U398" s="6">
        <v>267</v>
      </c>
      <c r="AF398" s="7"/>
      <c r="AN398" s="1"/>
    </row>
    <row r="399" spans="2:41" ht="12.95" customHeight="1" x14ac:dyDescent="0.15">
      <c r="D399" s="191"/>
      <c r="E399" s="192"/>
      <c r="F399" s="40">
        <f>ROUND(F398/(F$396+F$398+F$400+F$402+F$404+F$406+F$408),3)</f>
        <v>0.32800000000000001</v>
      </c>
      <c r="G399" s="41">
        <f t="shared" ref="G399" si="400">ROUND(G398/(G$396+G$398+G$400+G$402+G$404+G$406+G$408),3)</f>
        <v>0.47499999999999998</v>
      </c>
      <c r="H399" s="41">
        <f t="shared" ref="H399" si="401">ROUND(H398/(H$396+H$398+H$400+H$402+H$404+H$406+H$408),3)</f>
        <v>0.36</v>
      </c>
      <c r="I399" s="42">
        <f t="shared" ref="I399" si="402">ROUND(I398/(I$396+I$398+I$400+I$402+I$404+I$406+I$408),3)</f>
        <v>0.29299999999999998</v>
      </c>
      <c r="J399" s="40">
        <f>ROUND(J398/(J$396+J$398+J$400+J$402+J$404+J$406+J$408),3)</f>
        <v>0.216</v>
      </c>
      <c r="K399" s="41">
        <f t="shared" ref="K399:M399" si="403">ROUND(K398/(K$396+K$398+K$400+K$402+K$404+K$406+K$408),3)</f>
        <v>0.25</v>
      </c>
      <c r="L399" s="41">
        <f t="shared" si="403"/>
        <v>0.185</v>
      </c>
      <c r="M399" s="41">
        <f t="shared" si="403"/>
        <v>0.22600000000000001</v>
      </c>
      <c r="N399" s="1"/>
      <c r="O399" s="1"/>
      <c r="P399" s="1"/>
      <c r="Q399" s="1"/>
      <c r="R399" s="1"/>
      <c r="S399" s="1"/>
      <c r="T399" s="1" t="s">
        <v>144</v>
      </c>
      <c r="U399" s="6">
        <v>201</v>
      </c>
      <c r="AF399" s="7"/>
      <c r="AN399" s="1"/>
    </row>
    <row r="400" spans="2:41" ht="12.95" customHeight="1" x14ac:dyDescent="0.15">
      <c r="D400" s="188" t="s">
        <v>143</v>
      </c>
      <c r="E400" s="189"/>
      <c r="F400" s="22">
        <f t="shared" ref="F400" si="404">G400+H400+I400</f>
        <v>179</v>
      </c>
      <c r="G400" s="23">
        <v>12</v>
      </c>
      <c r="H400" s="23">
        <v>52</v>
      </c>
      <c r="I400" s="24">
        <v>115</v>
      </c>
      <c r="J400" s="22">
        <f t="shared" ref="J400" si="405">K400+L400+M400</f>
        <v>170</v>
      </c>
      <c r="K400" s="23">
        <v>11</v>
      </c>
      <c r="L400" s="23">
        <v>64</v>
      </c>
      <c r="M400" s="23">
        <v>95</v>
      </c>
      <c r="N400" s="1"/>
      <c r="O400" s="1"/>
      <c r="P400" s="1"/>
      <c r="Q400" s="1"/>
      <c r="R400" s="1"/>
      <c r="S400" s="1"/>
      <c r="T400" s="1" t="s">
        <v>147</v>
      </c>
      <c r="U400" s="6">
        <v>85</v>
      </c>
      <c r="AF400" s="7"/>
      <c r="AN400" s="1"/>
    </row>
    <row r="401" spans="2:41" ht="12.95" customHeight="1" x14ac:dyDescent="0.15">
      <c r="D401" s="191"/>
      <c r="E401" s="192"/>
      <c r="F401" s="40">
        <f>ROUND(F400/(F$396+F$398+F$400+F$402+F$404+F$406+F$408),3)</f>
        <v>0.26700000000000002</v>
      </c>
      <c r="G401" s="41">
        <f t="shared" ref="G401" si="406">ROUND(G400/(G$396+G$398+G$400+G$402+G$404+G$406+G$408),3)</f>
        <v>0.19700000000000001</v>
      </c>
      <c r="H401" s="41">
        <f t="shared" ref="H401" si="407">ROUND(H400/(H$396+H$398+H$400+H$402+H$404+H$406+H$408),3)</f>
        <v>0.28000000000000003</v>
      </c>
      <c r="I401" s="42">
        <f>ROUND(I400/(I$396+I$398+I$400+I$402+I$404+I$406+I$408),3)+0.001</f>
        <v>0.27300000000000002</v>
      </c>
      <c r="J401" s="40">
        <f>ROUND(J400/(J$396+J$398+J$400+J$402+J$404+J$406+J$408),3)</f>
        <v>0.25600000000000001</v>
      </c>
      <c r="K401" s="41">
        <f t="shared" ref="K401:L401" si="408">ROUND(K400/(K$396+K$398+K$400+K$402+K$404+K$406+K$408),3)</f>
        <v>0.183</v>
      </c>
      <c r="L401" s="41">
        <f t="shared" si="408"/>
        <v>0.32</v>
      </c>
      <c r="M401" s="41">
        <f>ROUND(M400/(M$396+M$398+M$400+M$402+M$404+M$406+M$408),3)+0.001</f>
        <v>0.23699999999999999</v>
      </c>
      <c r="N401" s="1"/>
      <c r="O401" s="1"/>
      <c r="P401" s="1"/>
      <c r="Q401" s="1"/>
      <c r="R401" s="1"/>
      <c r="S401" s="1"/>
      <c r="T401" s="1" t="s">
        <v>148</v>
      </c>
      <c r="U401" s="6">
        <v>28</v>
      </c>
      <c r="AF401" s="7"/>
      <c r="AN401" s="1"/>
    </row>
    <row r="402" spans="2:41" ht="12.95" customHeight="1" x14ac:dyDescent="0.15">
      <c r="D402" s="188" t="s">
        <v>144</v>
      </c>
      <c r="E402" s="189"/>
      <c r="F402" s="22">
        <f t="shared" ref="F402" si="409">G402+H402+I402</f>
        <v>135</v>
      </c>
      <c r="G402" s="23">
        <v>10</v>
      </c>
      <c r="H402" s="23">
        <v>38</v>
      </c>
      <c r="I402" s="24">
        <v>87</v>
      </c>
      <c r="J402" s="22">
        <f t="shared" ref="J402" si="410">K402+L402+M402</f>
        <v>117</v>
      </c>
      <c r="K402" s="23">
        <v>6</v>
      </c>
      <c r="L402" s="23">
        <v>29</v>
      </c>
      <c r="M402" s="23">
        <v>82</v>
      </c>
      <c r="N402" s="1"/>
      <c r="O402" s="1"/>
      <c r="P402" s="1"/>
      <c r="Q402" s="1"/>
      <c r="R402" s="1"/>
      <c r="S402" s="1"/>
      <c r="T402" s="1" t="s">
        <v>149</v>
      </c>
      <c r="U402" s="6">
        <v>51</v>
      </c>
      <c r="AF402" s="7"/>
      <c r="AN402" s="1"/>
    </row>
    <row r="403" spans="2:41" ht="12.95" customHeight="1" x14ac:dyDescent="0.15">
      <c r="D403" s="191"/>
      <c r="E403" s="192"/>
      <c r="F403" s="40">
        <f>ROUND(F402/(F$396+F$398+F$400+F$402+F$404+F$406+F$408),3)</f>
        <v>0.20100000000000001</v>
      </c>
      <c r="G403" s="41">
        <f t="shared" ref="G403" si="411">ROUND(G402/(G$396+G$398+G$400+G$402+G$404+G$406+G$408),3)</f>
        <v>0.16400000000000001</v>
      </c>
      <c r="H403" s="41">
        <f t="shared" ref="H403" si="412">ROUND(H402/(H$396+H$398+H$400+H$402+H$404+H$406+H$408),3)</f>
        <v>0.20399999999999999</v>
      </c>
      <c r="I403" s="42">
        <f t="shared" ref="I403" si="413">ROUND(I402/(I$396+I$398+I$400+I$402+I$404+I$406+I$408),3)</f>
        <v>0.20599999999999999</v>
      </c>
      <c r="J403" s="40">
        <f>ROUND(J402/(J$396+J$398+J$400+J$402+J$404+J$406+J$408),3)+0.001</f>
        <v>0.17699999999999999</v>
      </c>
      <c r="K403" s="41">
        <f t="shared" ref="K403:M403" si="414">ROUND(K402/(K$396+K$398+K$400+K$402+K$404+K$406+K$408),3)</f>
        <v>0.1</v>
      </c>
      <c r="L403" s="41">
        <f t="shared" si="414"/>
        <v>0.14499999999999999</v>
      </c>
      <c r="M403" s="41">
        <f t="shared" si="414"/>
        <v>0.20300000000000001</v>
      </c>
      <c r="N403" s="1"/>
      <c r="O403" s="1"/>
      <c r="P403" s="1"/>
      <c r="Q403" s="1"/>
      <c r="R403" s="1"/>
      <c r="S403" s="1"/>
      <c r="AF403" s="7"/>
      <c r="AN403" s="1"/>
    </row>
    <row r="404" spans="2:41" ht="12.95" customHeight="1" x14ac:dyDescent="0.15">
      <c r="D404" s="188" t="s">
        <v>147</v>
      </c>
      <c r="E404" s="189"/>
      <c r="F404" s="22">
        <f t="shared" ref="F404" si="415">G404+H404+I404</f>
        <v>57</v>
      </c>
      <c r="G404" s="23">
        <v>1</v>
      </c>
      <c r="H404" s="23">
        <v>11</v>
      </c>
      <c r="I404" s="24">
        <v>45</v>
      </c>
      <c r="J404" s="22">
        <f t="shared" ref="J404" si="416">K404+L404+M404</f>
        <v>61</v>
      </c>
      <c r="K404" s="23">
        <v>0</v>
      </c>
      <c r="L404" s="23">
        <v>16</v>
      </c>
      <c r="M404" s="23">
        <v>45</v>
      </c>
      <c r="N404" s="1"/>
      <c r="O404" s="1"/>
      <c r="P404" s="1"/>
      <c r="Q404" s="1"/>
      <c r="R404" s="1"/>
      <c r="S404" s="1"/>
      <c r="AF404" s="7"/>
      <c r="AN404" s="1"/>
    </row>
    <row r="405" spans="2:41" ht="12.95" customHeight="1" x14ac:dyDescent="0.15">
      <c r="D405" s="191"/>
      <c r="E405" s="192"/>
      <c r="F405" s="40">
        <f>ROUND(F404/(F$396+F$398+F$400+F$402+F$404+F$406+F$408),3)</f>
        <v>8.5000000000000006E-2</v>
      </c>
      <c r="G405" s="41">
        <f t="shared" ref="G405" si="417">ROUND(G404/(G$396+G$398+G$400+G$402+G$404+G$406+G$408),3)</f>
        <v>1.6E-2</v>
      </c>
      <c r="H405" s="41">
        <f t="shared" ref="H405" si="418">ROUND(H404/(H$396+H$398+H$400+H$402+H$404+H$406+H$408),3)</f>
        <v>5.8999999999999997E-2</v>
      </c>
      <c r="I405" s="42">
        <f>ROUND(I404/(I$396+I$398+I$400+I$402+I$404+I$406+I$408),3)</f>
        <v>0.106</v>
      </c>
      <c r="J405" s="40">
        <f>ROUND(J404/(J$396+J$398+J$400+J$402+J$404+J$406+J$408),3)</f>
        <v>9.1999999999999998E-2</v>
      </c>
      <c r="K405" s="41">
        <f t="shared" ref="K405:L405" si="419">ROUND(K404/(K$396+K$398+K$400+K$402+K$404+K$406+K$408),3)</f>
        <v>0</v>
      </c>
      <c r="L405" s="41">
        <f t="shared" si="419"/>
        <v>0.08</v>
      </c>
      <c r="M405" s="41">
        <f>ROUND(M404/(M$396+M$398+M$400+M$402+M$404+M$406+M$408),3)-0.001</f>
        <v>0.111</v>
      </c>
      <c r="N405" s="1"/>
      <c r="O405" s="1"/>
      <c r="P405" s="1"/>
      <c r="Q405" s="1"/>
      <c r="R405" s="1"/>
      <c r="S405" s="1"/>
      <c r="AF405" s="7"/>
      <c r="AN405" s="1"/>
    </row>
    <row r="406" spans="2:41" ht="12.95" customHeight="1" x14ac:dyDescent="0.15">
      <c r="D406" s="188" t="s">
        <v>148</v>
      </c>
      <c r="E406" s="189"/>
      <c r="F406" s="22">
        <f>G406+H406+I406</f>
        <v>19</v>
      </c>
      <c r="G406" s="23">
        <v>4</v>
      </c>
      <c r="H406" s="23">
        <v>5</v>
      </c>
      <c r="I406" s="24">
        <v>10</v>
      </c>
      <c r="J406" s="22">
        <f>K406+L406+M406</f>
        <v>23</v>
      </c>
      <c r="K406" s="23">
        <v>3</v>
      </c>
      <c r="L406" s="23">
        <v>4</v>
      </c>
      <c r="M406" s="23">
        <v>16</v>
      </c>
      <c r="N406" s="1"/>
      <c r="O406" s="1"/>
      <c r="P406" s="1"/>
      <c r="Q406" s="1"/>
      <c r="R406" s="1"/>
      <c r="S406" s="1"/>
      <c r="AF406" s="7"/>
      <c r="AN406" s="1"/>
    </row>
    <row r="407" spans="2:41" ht="12.95" customHeight="1" x14ac:dyDescent="0.15">
      <c r="D407" s="191"/>
      <c r="E407" s="192"/>
      <c r="F407" s="40">
        <f>ROUND(F406/(F$396+F$398+F$400+F$402+F$404+F$406+F$408),3)</f>
        <v>2.8000000000000001E-2</v>
      </c>
      <c r="G407" s="41">
        <f t="shared" ref="G407" si="420">ROUND(G406/(G$396+G$398+G$400+G$402+G$404+G$406+G$408),3)</f>
        <v>6.6000000000000003E-2</v>
      </c>
      <c r="H407" s="41">
        <f t="shared" ref="H407" si="421">ROUND(H406/(H$396+H$398+H$400+H$402+H$404+H$406+H$408),3)</f>
        <v>2.7E-2</v>
      </c>
      <c r="I407" s="42">
        <f t="shared" ref="I407" si="422">ROUND(I406/(I$396+I$398+I$400+I$402+I$404+I$406+I$408),3)</f>
        <v>2.4E-2</v>
      </c>
      <c r="J407" s="40">
        <f>ROUND(J406/(J$396+J$398+J$400+J$402+J$404+J$406+J$408),3)</f>
        <v>3.5000000000000003E-2</v>
      </c>
      <c r="K407" s="41">
        <f t="shared" ref="K407:M407" si="423">ROUND(K406/(K$396+K$398+K$400+K$402+K$404+K$406+K$408),3)</f>
        <v>0.05</v>
      </c>
      <c r="L407" s="41">
        <f t="shared" si="423"/>
        <v>0.02</v>
      </c>
      <c r="M407" s="41">
        <f t="shared" si="423"/>
        <v>0.04</v>
      </c>
      <c r="N407" s="1"/>
      <c r="O407" s="1"/>
      <c r="P407" s="1"/>
      <c r="Q407" s="1"/>
      <c r="R407" s="1"/>
      <c r="S407" s="1"/>
      <c r="AF407" s="7"/>
      <c r="AN407" s="1"/>
    </row>
    <row r="408" spans="2:41" ht="12.95" customHeight="1" x14ac:dyDescent="0.15">
      <c r="D408" s="188" t="s">
        <v>149</v>
      </c>
      <c r="E408" s="189"/>
      <c r="F408" s="22">
        <f>G408+H408+I408</f>
        <v>34</v>
      </c>
      <c r="G408" s="23">
        <v>2</v>
      </c>
      <c r="H408" s="23">
        <v>7</v>
      </c>
      <c r="I408" s="24">
        <v>25</v>
      </c>
      <c r="J408" s="22">
        <f>K408+L408+M408</f>
        <v>46</v>
      </c>
      <c r="K408" s="23">
        <v>6</v>
      </c>
      <c r="L408" s="23">
        <v>11</v>
      </c>
      <c r="M408" s="23">
        <v>29</v>
      </c>
      <c r="N408" s="1"/>
      <c r="O408" s="1"/>
      <c r="P408" s="1"/>
      <c r="Q408" s="1"/>
      <c r="R408" s="1"/>
      <c r="S408" s="1"/>
      <c r="AF408" s="7"/>
      <c r="AN408" s="1"/>
    </row>
    <row r="409" spans="2:41" ht="12.95" customHeight="1" x14ac:dyDescent="0.15">
      <c r="D409" s="191"/>
      <c r="E409" s="192"/>
      <c r="F409" s="40">
        <f>ROUND(F408/(F$396+F$398+F$400+F$402+F$404+F$406+F$408),3)</f>
        <v>5.0999999999999997E-2</v>
      </c>
      <c r="G409" s="41">
        <f t="shared" ref="G409" si="424">ROUND(G408/(G$396+G$398+G$400+G$402+G$404+G$406+G$408),3)</f>
        <v>3.3000000000000002E-2</v>
      </c>
      <c r="H409" s="41">
        <f t="shared" ref="H409" si="425">ROUND(H408/(H$396+H$398+H$400+H$402+H$404+H$406+H$408),3)</f>
        <v>3.7999999999999999E-2</v>
      </c>
      <c r="I409" s="42">
        <f t="shared" ref="I409" si="426">ROUND(I408/(I$396+I$398+I$400+I$402+I$404+I$406+I$408),3)</f>
        <v>5.8999999999999997E-2</v>
      </c>
      <c r="J409" s="40">
        <f>ROUND(J408/(J$396+J$398+J$400+J$402+J$404+J$406+J$408),3)</f>
        <v>6.9000000000000006E-2</v>
      </c>
      <c r="K409" s="41">
        <f t="shared" ref="K409:M409" si="427">ROUND(K408/(K$396+K$398+K$400+K$402+K$404+K$406+K$408),3)</f>
        <v>0.1</v>
      </c>
      <c r="L409" s="41">
        <f t="shared" si="427"/>
        <v>5.5E-2</v>
      </c>
      <c r="M409" s="41">
        <f t="shared" si="427"/>
        <v>7.1999999999999995E-2</v>
      </c>
      <c r="N409" s="1"/>
      <c r="O409" s="1"/>
      <c r="P409" s="1"/>
      <c r="Q409" s="1"/>
      <c r="R409" s="1"/>
      <c r="S409" s="1"/>
      <c r="AF409" s="7"/>
      <c r="AN409" s="1"/>
    </row>
    <row r="410" spans="2:41" ht="12.95" customHeight="1" x14ac:dyDescent="0.15">
      <c r="D410" s="187" t="s">
        <v>20</v>
      </c>
      <c r="E410" s="194"/>
      <c r="F410" s="22">
        <f>F396+F398+F400+F402+F404+F406+F408</f>
        <v>670</v>
      </c>
      <c r="G410" s="23">
        <f t="shared" ref="G410:I410" si="428">G396+G398+G400+G402+G404+G406+G408</f>
        <v>61</v>
      </c>
      <c r="H410" s="23">
        <f t="shared" si="428"/>
        <v>186</v>
      </c>
      <c r="I410" s="24">
        <f t="shared" si="428"/>
        <v>423</v>
      </c>
      <c r="J410" s="22">
        <f>J396+J398+J400+J402+J404+J406+J408</f>
        <v>663</v>
      </c>
      <c r="K410" s="23">
        <f t="shared" ref="K410:M410" si="429">K396+K398+K400+K402+K404+K406+K408</f>
        <v>60</v>
      </c>
      <c r="L410" s="23">
        <f t="shared" si="429"/>
        <v>200</v>
      </c>
      <c r="M410" s="23">
        <f t="shared" si="429"/>
        <v>403</v>
      </c>
      <c r="N410" s="1"/>
      <c r="O410" s="1"/>
      <c r="P410" s="1"/>
      <c r="Q410" s="1"/>
      <c r="R410" s="1"/>
      <c r="S410" s="1"/>
      <c r="AF410" s="7"/>
      <c r="AN410" s="1"/>
    </row>
    <row r="411" spans="2:41" ht="13.5" customHeight="1" thickBot="1" x14ac:dyDescent="0.2">
      <c r="D411" s="187"/>
      <c r="E411" s="194"/>
      <c r="F411" s="133">
        <f>F397+F399+F401+F403+F405+F407+F409</f>
        <v>0.999</v>
      </c>
      <c r="G411" s="134">
        <f t="shared" ref="G411:I411" si="430">G397+G399+G401+G403+G405+G407+G409</f>
        <v>1</v>
      </c>
      <c r="H411" s="134">
        <f t="shared" si="430"/>
        <v>1</v>
      </c>
      <c r="I411" s="135">
        <f t="shared" si="430"/>
        <v>1</v>
      </c>
      <c r="J411" s="137">
        <f>J397+J399+J401+J403+J405+J407+J409</f>
        <v>1</v>
      </c>
      <c r="K411" s="136">
        <f t="shared" ref="K411:M411" si="431">K397+K399+K401+K403+K405+K407+K409</f>
        <v>1</v>
      </c>
      <c r="L411" s="136">
        <f t="shared" si="431"/>
        <v>1</v>
      </c>
      <c r="M411" s="136">
        <f t="shared" si="431"/>
        <v>1.0000000000000002</v>
      </c>
      <c r="N411" s="1"/>
      <c r="O411" s="1"/>
      <c r="P411" s="1"/>
      <c r="Q411" s="1"/>
      <c r="R411" s="1"/>
      <c r="S411" s="1"/>
      <c r="AF411" s="7"/>
      <c r="AN411" s="1"/>
    </row>
    <row r="412" spans="2:41" ht="13.5" customHeight="1" x14ac:dyDescent="0.15">
      <c r="D412" s="82"/>
      <c r="E412" s="129"/>
      <c r="F412" s="57"/>
      <c r="G412" s="57"/>
      <c r="H412" s="57"/>
      <c r="I412" s="57"/>
      <c r="J412" s="50"/>
      <c r="K412" s="34"/>
      <c r="N412" s="1"/>
      <c r="O412" s="1"/>
      <c r="P412" s="1"/>
      <c r="Q412" s="1"/>
      <c r="R412" s="1"/>
      <c r="S412" s="1"/>
      <c r="AF412" s="7"/>
      <c r="AN412" s="1"/>
    </row>
    <row r="413" spans="2:41" ht="13.5" customHeight="1" x14ac:dyDescent="0.15">
      <c r="D413" s="82"/>
      <c r="E413" s="129"/>
      <c r="F413" s="57"/>
      <c r="G413" s="57"/>
      <c r="H413" s="57"/>
      <c r="I413" s="57"/>
      <c r="J413" s="50"/>
      <c r="K413" s="34"/>
      <c r="N413" s="1"/>
      <c r="O413" s="1"/>
      <c r="P413" s="1"/>
      <c r="Q413" s="1"/>
      <c r="R413" s="1"/>
      <c r="S413" s="1"/>
      <c r="AF413" s="7"/>
      <c r="AN413" s="1"/>
    </row>
    <row r="414" spans="2:41" x14ac:dyDescent="0.15">
      <c r="D414" s="82"/>
      <c r="E414" s="129"/>
      <c r="F414" s="74"/>
      <c r="G414" s="74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0"/>
      <c r="S414" s="50"/>
      <c r="T414" s="50"/>
      <c r="U414" s="12"/>
      <c r="V414" s="50"/>
      <c r="W414" s="34"/>
      <c r="X414" s="2"/>
      <c r="AN414" s="1"/>
      <c r="AO414" s="7"/>
    </row>
    <row r="415" spans="2:41" ht="14.25" thickBot="1" x14ac:dyDescent="0.2">
      <c r="B415" s="3" t="s">
        <v>98</v>
      </c>
      <c r="G415" s="10"/>
      <c r="K415" s="5"/>
      <c r="O415" s="5"/>
    </row>
    <row r="416" spans="2:41" x14ac:dyDescent="0.15">
      <c r="D416" s="70"/>
      <c r="E416" s="71"/>
      <c r="F416" s="86"/>
      <c r="G416" s="184" t="s">
        <v>265</v>
      </c>
      <c r="H416" s="185"/>
      <c r="I416" s="185"/>
      <c r="J416" s="186"/>
      <c r="K416" s="182" t="s">
        <v>60</v>
      </c>
      <c r="L416" s="196"/>
      <c r="M416" s="196"/>
      <c r="N416" s="196"/>
      <c r="O416" s="1"/>
      <c r="P416" s="1"/>
      <c r="Q416" s="1"/>
      <c r="R416" s="1"/>
      <c r="S416" s="1"/>
      <c r="AG416" s="7"/>
      <c r="AN416" s="1"/>
    </row>
    <row r="417" spans="2:40" x14ac:dyDescent="0.15">
      <c r="D417" s="72"/>
      <c r="E417" s="126"/>
      <c r="F417" s="126"/>
      <c r="G417" s="124"/>
      <c r="H417" s="128" t="s">
        <v>11</v>
      </c>
      <c r="I417" s="128" t="s">
        <v>12</v>
      </c>
      <c r="J417" s="39" t="s">
        <v>13</v>
      </c>
      <c r="K417" s="124"/>
      <c r="L417" s="128" t="s">
        <v>11</v>
      </c>
      <c r="M417" s="128" t="s">
        <v>12</v>
      </c>
      <c r="N417" s="122" t="s">
        <v>13</v>
      </c>
      <c r="O417" s="1"/>
      <c r="P417" s="1"/>
      <c r="Q417" s="1"/>
      <c r="R417" s="1"/>
      <c r="S417" s="1"/>
      <c r="AG417" s="7"/>
      <c r="AN417" s="1"/>
    </row>
    <row r="418" spans="2:40" ht="13.5" customHeight="1" x14ac:dyDescent="0.15">
      <c r="D418" s="188" t="s">
        <v>99</v>
      </c>
      <c r="E418" s="189"/>
      <c r="F418" s="190"/>
      <c r="G418" s="22">
        <f>H418+I418+J418</f>
        <v>315</v>
      </c>
      <c r="H418" s="23">
        <v>49</v>
      </c>
      <c r="I418" s="23">
        <v>58</v>
      </c>
      <c r="J418" s="24">
        <v>208</v>
      </c>
      <c r="K418" s="22">
        <f>L418+M418+N418</f>
        <v>388</v>
      </c>
      <c r="L418" s="23">
        <v>68</v>
      </c>
      <c r="M418" s="23">
        <v>77</v>
      </c>
      <c r="N418" s="23">
        <v>243</v>
      </c>
      <c r="O418" s="1"/>
      <c r="P418" s="1"/>
      <c r="Q418" s="1"/>
      <c r="R418" s="1"/>
      <c r="S418" s="1"/>
      <c r="T418" s="1" t="s">
        <v>99</v>
      </c>
      <c r="U418" s="6">
        <v>315</v>
      </c>
      <c r="AG418" s="7"/>
      <c r="AN418" s="1"/>
    </row>
    <row r="419" spans="2:40" s="95" customFormat="1" x14ac:dyDescent="0.15">
      <c r="B419" s="91"/>
      <c r="C419" s="91"/>
      <c r="D419" s="191"/>
      <c r="E419" s="192"/>
      <c r="F419" s="193"/>
      <c r="G419" s="92">
        <f>ROUND(G418/(G$418+G$420+G$422+G$424+G$426+G$428+G$430+G$432),3)</f>
        <v>0.68</v>
      </c>
      <c r="H419" s="93">
        <f t="shared" ref="H419:J419" si="432">ROUND(H418/(H$418+H$420+H$422+H$424+H$426+H$428+H$430+H$432),3)</f>
        <v>0.875</v>
      </c>
      <c r="I419" s="93">
        <f t="shared" si="432"/>
        <v>0.51300000000000001</v>
      </c>
      <c r="J419" s="94">
        <f t="shared" si="432"/>
        <v>0.70699999999999996</v>
      </c>
      <c r="K419" s="92">
        <f>ROUND(K418/(K$418+K$420+K$422+K$424+K$426+K$428+K$430+K$432),3)</f>
        <v>0.76100000000000001</v>
      </c>
      <c r="L419" s="93">
        <f t="shared" ref="L419:N419" si="433">ROUND(L418/(L$418+L$420+L$422+L$424+L$426+L$428+L$430+L$432),3)</f>
        <v>0.91900000000000004</v>
      </c>
      <c r="M419" s="93">
        <f t="shared" si="433"/>
        <v>0.56200000000000006</v>
      </c>
      <c r="N419" s="93">
        <f t="shared" si="433"/>
        <v>0.81299999999999994</v>
      </c>
      <c r="T419" s="95" t="s">
        <v>214</v>
      </c>
      <c r="U419" s="96">
        <v>30</v>
      </c>
      <c r="AG419" s="7"/>
    </row>
    <row r="420" spans="2:40" ht="13.5" customHeight="1" x14ac:dyDescent="0.15">
      <c r="D420" s="188" t="s">
        <v>100</v>
      </c>
      <c r="E420" s="189"/>
      <c r="F420" s="190"/>
      <c r="G420" s="22">
        <f>H420+I420+J420</f>
        <v>30</v>
      </c>
      <c r="H420" s="23">
        <v>4</v>
      </c>
      <c r="I420" s="23">
        <v>11</v>
      </c>
      <c r="J420" s="24">
        <v>15</v>
      </c>
      <c r="K420" s="22">
        <f>L420+M420+N420</f>
        <v>25</v>
      </c>
      <c r="L420" s="23">
        <v>1</v>
      </c>
      <c r="M420" s="23">
        <v>15</v>
      </c>
      <c r="N420" s="23">
        <v>9</v>
      </c>
      <c r="O420" s="1"/>
      <c r="P420" s="1"/>
      <c r="Q420" s="1"/>
      <c r="R420" s="1"/>
      <c r="S420" s="1"/>
      <c r="T420" s="90" t="s">
        <v>215</v>
      </c>
      <c r="U420" s="6">
        <v>51</v>
      </c>
      <c r="AG420" s="7"/>
      <c r="AN420" s="1"/>
    </row>
    <row r="421" spans="2:40" x14ac:dyDescent="0.15">
      <c r="D421" s="191"/>
      <c r="E421" s="192"/>
      <c r="F421" s="193"/>
      <c r="G421" s="40">
        <f>ROUND(G420/(G$418+G$420+G$422+G$424+G$426+G$428+G$430+G$432),3)</f>
        <v>6.5000000000000002E-2</v>
      </c>
      <c r="H421" s="41">
        <f>ROUND(H420/(H$418+H$420+H$422+H$424+H$426+H$428+H$430+H$432),3)</f>
        <v>7.0999999999999994E-2</v>
      </c>
      <c r="I421" s="41">
        <f>ROUND(I420/(I$418+I$420+I$422+I$424+I$426+I$428+I$430+I$432),3)</f>
        <v>9.7000000000000003E-2</v>
      </c>
      <c r="J421" s="42">
        <f t="shared" ref="J421" si="434">ROUND(J420/(J$418+J$420+J$422+J$424+J$426+J$428+J$430+J$432),3)</f>
        <v>5.0999999999999997E-2</v>
      </c>
      <c r="K421" s="40">
        <f>ROUND(K420/(K$418+K$420+K$422+K$424+K$426+K$428+K$430+K$432),3)</f>
        <v>4.9000000000000002E-2</v>
      </c>
      <c r="L421" s="41">
        <f>ROUND(L420/(L$418+L$420+L$422+L$424+L$426+L$428+L$430+L$432),3)-0.001</f>
        <v>1.3000000000000001E-2</v>
      </c>
      <c r="M421" s="41">
        <f>ROUND(M420/(M$418+M$420+M$422+M$424+M$426+M$428+M$430+M$432),3)+0.001</f>
        <v>0.11</v>
      </c>
      <c r="N421" s="41">
        <f t="shared" ref="N421" si="435">ROUND(N420/(N$418+N$420+N$422+N$424+N$426+N$428+N$430+N$432),3)</f>
        <v>0.03</v>
      </c>
      <c r="O421" s="1"/>
      <c r="P421" s="1"/>
      <c r="Q421" s="1"/>
      <c r="R421" s="1"/>
      <c r="S421" s="1"/>
      <c r="T421" s="95" t="s">
        <v>216</v>
      </c>
      <c r="U421" s="6">
        <v>22</v>
      </c>
      <c r="AG421" s="7"/>
      <c r="AN421" s="1"/>
    </row>
    <row r="422" spans="2:40" ht="13.5" customHeight="1" x14ac:dyDescent="0.15">
      <c r="D422" s="209" t="s">
        <v>101</v>
      </c>
      <c r="E422" s="252"/>
      <c r="F422" s="253"/>
      <c r="G422" s="22">
        <f>H422+I422+J422</f>
        <v>51</v>
      </c>
      <c r="H422" s="23">
        <v>2</v>
      </c>
      <c r="I422" s="23">
        <v>18</v>
      </c>
      <c r="J422" s="24">
        <v>31</v>
      </c>
      <c r="K422" s="22">
        <f>L422+M422+N422</f>
        <v>34</v>
      </c>
      <c r="L422" s="23">
        <v>2</v>
      </c>
      <c r="M422" s="23">
        <v>16</v>
      </c>
      <c r="N422" s="23">
        <v>16</v>
      </c>
      <c r="O422" s="1"/>
      <c r="P422" s="1"/>
      <c r="Q422" s="1"/>
      <c r="R422" s="1"/>
      <c r="S422" s="1"/>
      <c r="T422" s="1" t="s">
        <v>2</v>
      </c>
      <c r="U422" s="6">
        <v>17</v>
      </c>
      <c r="AG422" s="7"/>
      <c r="AN422" s="1"/>
    </row>
    <row r="423" spans="2:40" x14ac:dyDescent="0.15">
      <c r="D423" s="254"/>
      <c r="E423" s="255"/>
      <c r="F423" s="256"/>
      <c r="G423" s="40">
        <f>ROUND(G422/(G$418+G$420+G$422+G$424+G$426+G$428+G$430+G$432),3)</f>
        <v>0.11</v>
      </c>
      <c r="H423" s="41">
        <f t="shared" ref="H423" si="436">ROUND(H422/(H$418+H$420+H$422+H$424+H$426+H$428+H$430+H$432),3)</f>
        <v>3.5999999999999997E-2</v>
      </c>
      <c r="I423" s="41">
        <f t="shared" ref="I423" si="437">ROUND(I422/(I$418+I$420+I$422+I$424+I$426+I$428+I$430+I$432),3)</f>
        <v>0.159</v>
      </c>
      <c r="J423" s="42">
        <f t="shared" ref="J423" si="438">ROUND(J422/(J$418+J$420+J$422+J$424+J$426+J$428+J$430+J$432),3)</f>
        <v>0.105</v>
      </c>
      <c r="K423" s="40">
        <f>ROUND(K422/(K$418+K$420+K$422+K$424+K$426+K$428+K$430+K$432),3)</f>
        <v>6.7000000000000004E-2</v>
      </c>
      <c r="L423" s="41">
        <f t="shared" ref="L423:N423" si="439">ROUND(L422/(L$418+L$420+L$422+L$424+L$426+L$428+L$430+L$432),3)</f>
        <v>2.7E-2</v>
      </c>
      <c r="M423" s="41">
        <f t="shared" si="439"/>
        <v>0.11700000000000001</v>
      </c>
      <c r="N423" s="41">
        <f t="shared" si="439"/>
        <v>5.3999999999999999E-2</v>
      </c>
      <c r="O423" s="1"/>
      <c r="P423" s="1"/>
      <c r="Q423" s="1"/>
      <c r="R423" s="1"/>
      <c r="S423" s="1"/>
      <c r="T423" s="1" t="s">
        <v>103</v>
      </c>
      <c r="U423" s="6">
        <v>22</v>
      </c>
      <c r="AG423" s="7"/>
      <c r="AN423" s="1"/>
    </row>
    <row r="424" spans="2:40" ht="13.5" customHeight="1" x14ac:dyDescent="0.15">
      <c r="D424" s="188" t="s">
        <v>102</v>
      </c>
      <c r="E424" s="189"/>
      <c r="F424" s="190"/>
      <c r="G424" s="22">
        <f>H424+I424+J424</f>
        <v>22</v>
      </c>
      <c r="H424" s="23">
        <v>0</v>
      </c>
      <c r="I424" s="23">
        <v>11</v>
      </c>
      <c r="J424" s="24">
        <v>11</v>
      </c>
      <c r="K424" s="22">
        <f>L424+M424+N424</f>
        <v>23</v>
      </c>
      <c r="L424" s="23">
        <v>0</v>
      </c>
      <c r="M424" s="23">
        <v>13</v>
      </c>
      <c r="N424" s="23">
        <v>10</v>
      </c>
      <c r="O424" s="1"/>
      <c r="P424" s="1"/>
      <c r="Q424" s="1"/>
      <c r="R424" s="1"/>
      <c r="S424" s="1"/>
      <c r="T424" s="1" t="s">
        <v>213</v>
      </c>
      <c r="U424" s="6">
        <v>2</v>
      </c>
      <c r="AG424" s="7"/>
      <c r="AN424" s="1"/>
    </row>
    <row r="425" spans="2:40" x14ac:dyDescent="0.15">
      <c r="D425" s="191"/>
      <c r="E425" s="192"/>
      <c r="F425" s="193"/>
      <c r="G425" s="40">
        <f>ROUND(G424/(G$418+G$420+G$422+G$424+G$426+G$428+G$430+G$432),3)</f>
        <v>4.8000000000000001E-2</v>
      </c>
      <c r="H425" s="41">
        <f t="shared" ref="H425" si="440">ROUND(H424/(H$418+H$420+H$422+H$424+H$426+H$428+H$430+H$432),3)</f>
        <v>0</v>
      </c>
      <c r="I425" s="41">
        <f t="shared" ref="I425" si="441">ROUND(I424/(I$418+I$420+I$422+I$424+I$426+I$428+I$430+I$432),3)</f>
        <v>9.7000000000000003E-2</v>
      </c>
      <c r="J425" s="42">
        <f>ROUND(J424/(J$418+J$420+J$422+J$424+J$426+J$428+J$430+J$432),3)+0.001</f>
        <v>3.7999999999999999E-2</v>
      </c>
      <c r="K425" s="40">
        <f>ROUND(K424/(K$418+K$420+K$422+K$424+K$426+K$428+K$430+K$432),3)</f>
        <v>4.4999999999999998E-2</v>
      </c>
      <c r="L425" s="41">
        <f t="shared" ref="L425:M425" si="442">ROUND(L424/(L$418+L$420+L$422+L$424+L$426+L$428+L$430+L$432),3)</f>
        <v>0</v>
      </c>
      <c r="M425" s="41">
        <f t="shared" si="442"/>
        <v>9.5000000000000001E-2</v>
      </c>
      <c r="N425" s="41">
        <f>ROUND(N424/(N$418+N$420+N$422+N$424+N$426+N$428+N$430+N$432),3)+0.001</f>
        <v>3.4000000000000002E-2</v>
      </c>
      <c r="O425" s="1"/>
      <c r="P425" s="1"/>
      <c r="Q425" s="1"/>
      <c r="R425" s="1"/>
      <c r="S425" s="1"/>
      <c r="T425" s="1" t="s">
        <v>88</v>
      </c>
      <c r="U425" s="6">
        <v>4</v>
      </c>
      <c r="AG425" s="7"/>
      <c r="AN425" s="1"/>
    </row>
    <row r="426" spans="2:40" ht="13.5" customHeight="1" x14ac:dyDescent="0.15">
      <c r="D426" s="188" t="s">
        <v>2</v>
      </c>
      <c r="E426" s="189"/>
      <c r="F426" s="190"/>
      <c r="G426" s="22">
        <f>H426+I426+J426</f>
        <v>17</v>
      </c>
      <c r="H426" s="23">
        <v>0</v>
      </c>
      <c r="I426" s="23">
        <v>8</v>
      </c>
      <c r="J426" s="24">
        <v>9</v>
      </c>
      <c r="K426" s="22">
        <f>L426+M426+N426</f>
        <v>9</v>
      </c>
      <c r="L426" s="23">
        <v>0</v>
      </c>
      <c r="M426" s="23">
        <v>5</v>
      </c>
      <c r="N426" s="23">
        <v>4</v>
      </c>
      <c r="O426" s="1"/>
      <c r="P426" s="1"/>
      <c r="Q426" s="1"/>
      <c r="R426" s="1"/>
      <c r="S426" s="1"/>
      <c r="AG426" s="7"/>
      <c r="AN426" s="1"/>
    </row>
    <row r="427" spans="2:40" x14ac:dyDescent="0.15">
      <c r="D427" s="191"/>
      <c r="E427" s="192"/>
      <c r="F427" s="193"/>
      <c r="G427" s="40">
        <f>ROUND(G426/(G$418+G$420+G$422+G$424+G$426+G$428+G$430+G$432),3)</f>
        <v>3.6999999999999998E-2</v>
      </c>
      <c r="H427" s="41">
        <f t="shared" ref="H427" si="443">ROUND(H426/(H$418+H$420+H$422+H$424+H$426+H$428+H$430+H$432),3)</f>
        <v>0</v>
      </c>
      <c r="I427" s="41">
        <f t="shared" ref="I427" si="444">ROUND(I426/(I$418+I$420+I$422+I$424+I$426+I$428+I$430+I$432),3)</f>
        <v>7.0999999999999994E-2</v>
      </c>
      <c r="J427" s="42">
        <f t="shared" ref="J427" si="445">ROUND(J426/(J$418+J$420+J$422+J$424+J$426+J$428+J$430+J$432),3)</f>
        <v>3.1E-2</v>
      </c>
      <c r="K427" s="40">
        <f>ROUND(K426/(K$418+K$420+K$422+K$424+K$426+K$428+K$430+K$432),3)-0.001</f>
        <v>1.6999999999999998E-2</v>
      </c>
      <c r="L427" s="41">
        <f t="shared" ref="L427:N427" si="446">ROUND(L426/(L$418+L$420+L$422+L$424+L$426+L$428+L$430+L$432),3)</f>
        <v>0</v>
      </c>
      <c r="M427" s="41">
        <f t="shared" si="446"/>
        <v>3.5999999999999997E-2</v>
      </c>
      <c r="N427" s="41">
        <f t="shared" si="446"/>
        <v>1.2999999999999999E-2</v>
      </c>
      <c r="O427" s="1"/>
      <c r="P427" s="1"/>
      <c r="Q427" s="1"/>
      <c r="R427" s="1"/>
      <c r="S427" s="1"/>
      <c r="AG427" s="7"/>
      <c r="AN427" s="1"/>
    </row>
    <row r="428" spans="2:40" ht="13.5" customHeight="1" x14ac:dyDescent="0.15">
      <c r="D428" s="209" t="s">
        <v>103</v>
      </c>
      <c r="E428" s="252"/>
      <c r="F428" s="253"/>
      <c r="G428" s="22">
        <f>H428+I428+J428</f>
        <v>22</v>
      </c>
      <c r="H428" s="23">
        <v>0</v>
      </c>
      <c r="I428" s="23">
        <v>5</v>
      </c>
      <c r="J428" s="24">
        <v>17</v>
      </c>
      <c r="K428" s="22">
        <f>L428+M428+N428</f>
        <v>22</v>
      </c>
      <c r="L428" s="23">
        <v>3</v>
      </c>
      <c r="M428" s="23">
        <v>7</v>
      </c>
      <c r="N428" s="23">
        <v>12</v>
      </c>
      <c r="O428" s="1"/>
      <c r="P428" s="1"/>
      <c r="Q428" s="1"/>
      <c r="R428" s="1"/>
      <c r="S428" s="1"/>
      <c r="AG428" s="7"/>
      <c r="AN428" s="1"/>
    </row>
    <row r="429" spans="2:40" x14ac:dyDescent="0.15">
      <c r="D429" s="254"/>
      <c r="E429" s="255"/>
      <c r="F429" s="256"/>
      <c r="G429" s="40">
        <f>ROUND(G428/(G$418+G$420+G$422+G$424+G$426+G$428+G$430+G$432),3)</f>
        <v>4.8000000000000001E-2</v>
      </c>
      <c r="H429" s="41">
        <f t="shared" ref="H429" si="447">ROUND(H428/(H$418+H$420+H$422+H$424+H$426+H$428+H$430+H$432),3)</f>
        <v>0</v>
      </c>
      <c r="I429" s="41">
        <f t="shared" ref="I429" si="448">ROUND(I428/(I$418+I$420+I$422+I$424+I$426+I$428+I$430+I$432),3)</f>
        <v>4.3999999999999997E-2</v>
      </c>
      <c r="J429" s="42">
        <f t="shared" ref="J429" si="449">ROUND(J428/(J$418+J$420+J$422+J$424+J$426+J$428+J$430+J$432),3)</f>
        <v>5.8000000000000003E-2</v>
      </c>
      <c r="K429" s="40">
        <f>ROUND(K428/(K$418+K$420+K$422+K$424+K$426+K$428+K$430+K$432),3)</f>
        <v>4.2999999999999997E-2</v>
      </c>
      <c r="L429" s="41">
        <f t="shared" ref="L429:N429" si="450">ROUND(L428/(L$418+L$420+L$422+L$424+L$426+L$428+L$430+L$432),3)</f>
        <v>4.1000000000000002E-2</v>
      </c>
      <c r="M429" s="41">
        <f t="shared" si="450"/>
        <v>5.0999999999999997E-2</v>
      </c>
      <c r="N429" s="41">
        <f t="shared" si="450"/>
        <v>0.04</v>
      </c>
      <c r="O429" s="1"/>
      <c r="P429" s="1"/>
      <c r="Q429" s="1"/>
      <c r="R429" s="1"/>
      <c r="S429" s="1"/>
      <c r="AG429" s="7"/>
      <c r="AN429" s="1"/>
    </row>
    <row r="430" spans="2:40" ht="13.5" customHeight="1" x14ac:dyDescent="0.15">
      <c r="D430" s="209" t="s">
        <v>104</v>
      </c>
      <c r="E430" s="252"/>
      <c r="F430" s="253"/>
      <c r="G430" s="22">
        <f>H430+I430+J430</f>
        <v>2</v>
      </c>
      <c r="H430" s="23">
        <v>1</v>
      </c>
      <c r="I430" s="23">
        <v>0</v>
      </c>
      <c r="J430" s="24">
        <v>1</v>
      </c>
      <c r="K430" s="22">
        <f>L430+M430+N430</f>
        <v>1</v>
      </c>
      <c r="L430" s="23">
        <v>0</v>
      </c>
      <c r="M430" s="23">
        <v>0</v>
      </c>
      <c r="N430" s="23">
        <v>1</v>
      </c>
      <c r="O430" s="1"/>
      <c r="P430" s="1"/>
      <c r="Q430" s="1"/>
      <c r="R430" s="1"/>
      <c r="S430" s="1"/>
      <c r="AG430" s="7"/>
      <c r="AN430" s="1"/>
    </row>
    <row r="431" spans="2:40" x14ac:dyDescent="0.15">
      <c r="D431" s="254"/>
      <c r="E431" s="255"/>
      <c r="F431" s="256"/>
      <c r="G431" s="40">
        <f>ROUND(G430/(G$418+G$420+G$422+G$424+G$426+G$428+G$430+G$432),3)</f>
        <v>4.0000000000000001E-3</v>
      </c>
      <c r="H431" s="41">
        <f t="shared" ref="H431" si="451">ROUND(H430/(H$418+H$420+H$422+H$424+H$426+H$428+H$430+H$432),3)</f>
        <v>1.7999999999999999E-2</v>
      </c>
      <c r="I431" s="41">
        <f t="shared" ref="I431" si="452">ROUND(I430/(I$418+I$420+I$422+I$424+I$426+I$428+I$430+I$432),3)</f>
        <v>0</v>
      </c>
      <c r="J431" s="42">
        <f t="shared" ref="J431" si="453">ROUND(J430/(J$418+J$420+J$422+J$424+J$426+J$428+J$430+J$432),3)</f>
        <v>3.0000000000000001E-3</v>
      </c>
      <c r="K431" s="40">
        <f>ROUND(K430/(K$418+K$420+K$422+K$424+K$426+K$428+K$430+K$432),3)</f>
        <v>2E-3</v>
      </c>
      <c r="L431" s="41">
        <f t="shared" ref="L431:N431" si="454">ROUND(L430/(L$418+L$420+L$422+L$424+L$426+L$428+L$430+L$432),3)</f>
        <v>0</v>
      </c>
      <c r="M431" s="41">
        <f t="shared" si="454"/>
        <v>0</v>
      </c>
      <c r="N431" s="41">
        <f t="shared" si="454"/>
        <v>3.0000000000000001E-3</v>
      </c>
      <c r="O431" s="1"/>
      <c r="P431" s="1"/>
      <c r="Q431" s="1"/>
      <c r="R431" s="1"/>
      <c r="S431" s="1"/>
      <c r="AG431" s="7"/>
      <c r="AN431" s="1"/>
    </row>
    <row r="432" spans="2:40" ht="13.5" customHeight="1" x14ac:dyDescent="0.15">
      <c r="D432" s="188" t="s">
        <v>88</v>
      </c>
      <c r="E432" s="189"/>
      <c r="F432" s="190"/>
      <c r="G432" s="22">
        <f>H432+I432+J432</f>
        <v>4</v>
      </c>
      <c r="H432" s="23">
        <v>0</v>
      </c>
      <c r="I432" s="23">
        <v>2</v>
      </c>
      <c r="J432" s="24">
        <v>2</v>
      </c>
      <c r="K432" s="22">
        <f>L432+M432+N432</f>
        <v>8</v>
      </c>
      <c r="L432" s="23">
        <v>0</v>
      </c>
      <c r="M432" s="23">
        <v>4</v>
      </c>
      <c r="N432" s="23">
        <v>4</v>
      </c>
      <c r="O432" s="1"/>
      <c r="P432" s="1"/>
      <c r="Q432" s="1"/>
      <c r="R432" s="1"/>
      <c r="S432" s="1"/>
      <c r="AG432" s="7"/>
      <c r="AN432" s="1"/>
    </row>
    <row r="433" spans="2:41" x14ac:dyDescent="0.15">
      <c r="D433" s="191"/>
      <c r="E433" s="192"/>
      <c r="F433" s="193"/>
      <c r="G433" s="40">
        <f>ROUND(G432/(G$418+G$420+G$422+G$424+G$426+G$428+G$430+G$432),3)</f>
        <v>8.9999999999999993E-3</v>
      </c>
      <c r="H433" s="41">
        <f t="shared" ref="H433" si="455">ROUND(H432/(H$418+H$420+H$422+H$424+H$426+H$428+H$430+H$432),3)</f>
        <v>0</v>
      </c>
      <c r="I433" s="41">
        <f t="shared" ref="I433" si="456">ROUND(I432/(I$418+I$420+I$422+I$424+I$426+I$428+I$430+I$432),3)</f>
        <v>1.7999999999999999E-2</v>
      </c>
      <c r="J433" s="42">
        <f t="shared" ref="J433" si="457">ROUND(J432/(J$418+J$420+J$422+J$424+J$426+J$428+J$430+J$432),3)</f>
        <v>7.0000000000000001E-3</v>
      </c>
      <c r="K433" s="40">
        <f>ROUND(K432/(K$418+K$420+K$422+K$424+K$426+K$428+K$430+K$432),3)</f>
        <v>1.6E-2</v>
      </c>
      <c r="L433" s="41">
        <f t="shared" ref="L433:N433" si="458">ROUND(L432/(L$418+L$420+L$422+L$424+L$426+L$428+L$430+L$432),3)</f>
        <v>0</v>
      </c>
      <c r="M433" s="41">
        <f t="shared" si="458"/>
        <v>2.9000000000000001E-2</v>
      </c>
      <c r="N433" s="41">
        <f t="shared" si="458"/>
        <v>1.2999999999999999E-2</v>
      </c>
      <c r="O433" s="1"/>
      <c r="P433" s="1"/>
      <c r="Q433" s="1"/>
      <c r="R433" s="1"/>
      <c r="S433" s="1"/>
      <c r="AG433" s="7"/>
      <c r="AN433" s="1"/>
    </row>
    <row r="434" spans="2:41" x14ac:dyDescent="0.15">
      <c r="D434" s="203" t="s">
        <v>20</v>
      </c>
      <c r="E434" s="197"/>
      <c r="F434" s="248"/>
      <c r="G434" s="22">
        <f>G418+G420+G422+G424+G426+G428+G430+G432</f>
        <v>463</v>
      </c>
      <c r="H434" s="23">
        <f t="shared" ref="H434:J434" si="459">H418+H420+H422+H424+H426+H428+H430+H432</f>
        <v>56</v>
      </c>
      <c r="I434" s="23">
        <f t="shared" si="459"/>
        <v>113</v>
      </c>
      <c r="J434" s="24">
        <f t="shared" si="459"/>
        <v>294</v>
      </c>
      <c r="K434" s="22">
        <f>K418+K420+K422+K424+K426+K428+K430+K432</f>
        <v>510</v>
      </c>
      <c r="L434" s="23">
        <f t="shared" ref="L434:N434" si="460">L418+L420+L422+L424+L426+L428+L430+L432</f>
        <v>74</v>
      </c>
      <c r="M434" s="23">
        <f t="shared" si="460"/>
        <v>137</v>
      </c>
      <c r="N434" s="23">
        <f t="shared" si="460"/>
        <v>299</v>
      </c>
      <c r="O434" s="1"/>
      <c r="P434" s="1"/>
      <c r="Q434" s="1"/>
      <c r="R434" s="1"/>
      <c r="S434" s="1"/>
      <c r="AG434" s="7"/>
      <c r="AN434" s="1"/>
    </row>
    <row r="435" spans="2:41" ht="14.25" thickBot="1" x14ac:dyDescent="0.2">
      <c r="D435" s="210"/>
      <c r="E435" s="211"/>
      <c r="F435" s="249"/>
      <c r="G435" s="133">
        <f>G419+G421+G423+G425+G427+G429+G431+G433</f>
        <v>1.0010000000000001</v>
      </c>
      <c r="H435" s="134">
        <f t="shared" ref="H435:J435" si="461">H419+H421+H423+H425+H427+H429+H431+H433</f>
        <v>1</v>
      </c>
      <c r="I435" s="134">
        <f t="shared" si="461"/>
        <v>0.999</v>
      </c>
      <c r="J435" s="135">
        <f t="shared" si="461"/>
        <v>1</v>
      </c>
      <c r="K435" s="137">
        <f>K419+K421+K423+K425+K427+K429+K431+K433</f>
        <v>1</v>
      </c>
      <c r="L435" s="136">
        <f t="shared" ref="L435:N435" si="462">L419+L421+L423+L425+L427+L429+L431+L433</f>
        <v>1</v>
      </c>
      <c r="M435" s="136">
        <f t="shared" si="462"/>
        <v>1</v>
      </c>
      <c r="N435" s="136">
        <f t="shared" si="462"/>
        <v>1</v>
      </c>
      <c r="O435" s="1"/>
      <c r="P435" s="1"/>
      <c r="Q435" s="1"/>
      <c r="R435" s="1"/>
      <c r="S435" s="1"/>
      <c r="AG435" s="7"/>
      <c r="AN435" s="1"/>
    </row>
    <row r="436" spans="2:41" x14ac:dyDescent="0.15">
      <c r="D436" s="82"/>
      <c r="E436" s="129"/>
      <c r="F436" s="74"/>
      <c r="G436" s="74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0"/>
      <c r="S436" s="50"/>
      <c r="T436" s="50"/>
      <c r="U436" s="12"/>
      <c r="V436" s="50"/>
      <c r="W436" s="34"/>
      <c r="X436" s="2"/>
      <c r="AN436" s="1"/>
      <c r="AO436" s="7"/>
    </row>
    <row r="437" spans="2:41" x14ac:dyDescent="0.15">
      <c r="D437" s="82"/>
      <c r="E437" s="129"/>
      <c r="F437" s="74"/>
      <c r="G437" s="74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0"/>
      <c r="S437" s="50"/>
      <c r="T437" s="50"/>
      <c r="U437" s="12"/>
      <c r="V437" s="50"/>
      <c r="W437" s="34"/>
      <c r="X437" s="2"/>
      <c r="AN437" s="1"/>
      <c r="AO437" s="7"/>
    </row>
    <row r="438" spans="2:41" x14ac:dyDescent="0.15">
      <c r="D438" s="82"/>
      <c r="E438" s="129"/>
      <c r="F438" s="74"/>
      <c r="G438" s="74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0"/>
      <c r="S438" s="50"/>
      <c r="T438" s="50"/>
      <c r="U438" s="12"/>
      <c r="V438" s="50"/>
      <c r="W438" s="34"/>
      <c r="X438" s="2"/>
      <c r="AN438" s="1"/>
      <c r="AO438" s="7"/>
    </row>
    <row r="439" spans="2:41" ht="14.25" thickBot="1" x14ac:dyDescent="0.2">
      <c r="B439" s="3" t="s">
        <v>150</v>
      </c>
      <c r="K439" s="5"/>
      <c r="O439" s="5"/>
    </row>
    <row r="440" spans="2:41" x14ac:dyDescent="0.15">
      <c r="D440" s="203"/>
      <c r="E440" s="197"/>
      <c r="F440" s="184" t="s">
        <v>265</v>
      </c>
      <c r="G440" s="185"/>
      <c r="H440" s="185"/>
      <c r="I440" s="186"/>
      <c r="J440" s="182" t="s">
        <v>60</v>
      </c>
      <c r="K440" s="187"/>
      <c r="L440" s="187"/>
      <c r="M440" s="187"/>
      <c r="N440" s="1"/>
      <c r="O440" s="1"/>
      <c r="P440" s="1"/>
      <c r="Q440" s="1"/>
      <c r="R440" s="1"/>
      <c r="S440" s="1"/>
      <c r="AF440" s="7"/>
      <c r="AN440" s="1"/>
    </row>
    <row r="441" spans="2:41" x14ac:dyDescent="0.15">
      <c r="D441" s="210"/>
      <c r="E441" s="211"/>
      <c r="F441" s="124"/>
      <c r="G441" s="128" t="s">
        <v>11</v>
      </c>
      <c r="H441" s="128" t="s">
        <v>12</v>
      </c>
      <c r="I441" s="39" t="s">
        <v>13</v>
      </c>
      <c r="J441" s="124"/>
      <c r="K441" s="128" t="s">
        <v>11</v>
      </c>
      <c r="L441" s="128" t="s">
        <v>12</v>
      </c>
      <c r="M441" s="128" t="s">
        <v>13</v>
      </c>
      <c r="N441" s="1"/>
      <c r="O441" s="1"/>
      <c r="P441" s="1"/>
      <c r="Q441" s="1"/>
      <c r="R441" s="1"/>
      <c r="S441" s="1"/>
      <c r="AF441" s="7"/>
      <c r="AN441" s="1"/>
    </row>
    <row r="442" spans="2:41" x14ac:dyDescent="0.15">
      <c r="D442" s="188" t="s">
        <v>141</v>
      </c>
      <c r="E442" s="189"/>
      <c r="F442" s="22">
        <f>G442+H442+I442</f>
        <v>58</v>
      </c>
      <c r="G442" s="23">
        <v>6</v>
      </c>
      <c r="H442" s="23">
        <v>19</v>
      </c>
      <c r="I442" s="24">
        <v>33</v>
      </c>
      <c r="J442" s="22">
        <f>K442+L442+M442</f>
        <v>72</v>
      </c>
      <c r="K442" s="23">
        <v>8</v>
      </c>
      <c r="L442" s="23">
        <v>31</v>
      </c>
      <c r="M442" s="23">
        <v>33</v>
      </c>
      <c r="N442" s="1"/>
      <c r="O442" s="1"/>
      <c r="P442" s="1"/>
      <c r="Q442" s="1"/>
      <c r="R442" s="1"/>
      <c r="S442" s="1"/>
      <c r="T442" s="1" t="s">
        <v>8</v>
      </c>
      <c r="U442" s="6">
        <v>58</v>
      </c>
      <c r="AF442" s="7"/>
      <c r="AN442" s="1"/>
    </row>
    <row r="443" spans="2:41" x14ac:dyDescent="0.15">
      <c r="D443" s="191"/>
      <c r="E443" s="192"/>
      <c r="F443" s="40">
        <f>ROUND(F442/(F$442+F$444+F$446+F$448+F$450),3)</f>
        <v>8.6999999999999994E-2</v>
      </c>
      <c r="G443" s="41">
        <f t="shared" ref="G443:I443" si="463">ROUND(G442/(G$442+G$444+G$446+G$448+G$450),3)</f>
        <v>9.8000000000000004E-2</v>
      </c>
      <c r="H443" s="41">
        <f t="shared" si="463"/>
        <v>0.10199999999999999</v>
      </c>
      <c r="I443" s="42">
        <f t="shared" si="463"/>
        <v>7.8E-2</v>
      </c>
      <c r="J443" s="40">
        <f>ROUND(J442/(J$442+J$444+J$446+J$448+J$450),3)</f>
        <v>0.104</v>
      </c>
      <c r="K443" s="41">
        <f t="shared" ref="K443:M443" si="464">ROUND(K442/(K$442+K$444+K$446+K$448+K$450),3)</f>
        <v>0.111</v>
      </c>
      <c r="L443" s="41">
        <f t="shared" si="464"/>
        <v>0.14599999999999999</v>
      </c>
      <c r="M443" s="41">
        <f t="shared" si="464"/>
        <v>8.1000000000000003E-2</v>
      </c>
      <c r="N443" s="1"/>
      <c r="O443" s="1"/>
      <c r="P443" s="1"/>
      <c r="Q443" s="1"/>
      <c r="R443" s="1"/>
      <c r="S443" s="1"/>
      <c r="T443" s="1" t="s">
        <v>151</v>
      </c>
      <c r="U443" s="6">
        <v>122</v>
      </c>
      <c r="AF443" s="7"/>
      <c r="AN443" s="1"/>
    </row>
    <row r="444" spans="2:41" x14ac:dyDescent="0.15">
      <c r="D444" s="188" t="s">
        <v>151</v>
      </c>
      <c r="E444" s="189"/>
      <c r="F444" s="22">
        <f>G444+H444+I444</f>
        <v>122</v>
      </c>
      <c r="G444" s="23">
        <v>4</v>
      </c>
      <c r="H444" s="23">
        <v>33</v>
      </c>
      <c r="I444" s="24">
        <v>85</v>
      </c>
      <c r="J444" s="22">
        <f>K444+L444+M444</f>
        <v>139</v>
      </c>
      <c r="K444" s="23">
        <v>5</v>
      </c>
      <c r="L444" s="23">
        <v>41</v>
      </c>
      <c r="M444" s="23">
        <v>93</v>
      </c>
      <c r="N444" s="1"/>
      <c r="O444" s="1"/>
      <c r="P444" s="1"/>
      <c r="Q444" s="1"/>
      <c r="R444" s="1"/>
      <c r="S444" s="1"/>
      <c r="T444" s="1" t="s">
        <v>152</v>
      </c>
      <c r="U444" s="6">
        <v>374</v>
      </c>
      <c r="AF444" s="7"/>
      <c r="AN444" s="1"/>
    </row>
    <row r="445" spans="2:41" x14ac:dyDescent="0.15">
      <c r="D445" s="191"/>
      <c r="E445" s="192"/>
      <c r="F445" s="40">
        <f>ROUND(F444/(F$442+F$444+F$446+F$448+F$450),3)</f>
        <v>0.182</v>
      </c>
      <c r="G445" s="41">
        <f t="shared" ref="G445" si="465">ROUND(G444/(G$442+G$444+G$446+G$448+G$450),3)</f>
        <v>6.6000000000000003E-2</v>
      </c>
      <c r="H445" s="41">
        <f t="shared" ref="H445" si="466">ROUND(H444/(H$442+H$444+H$446+H$448+H$450),3)</f>
        <v>0.17699999999999999</v>
      </c>
      <c r="I445" s="42">
        <f t="shared" ref="I445" si="467">ROUND(I444/(I$442+I$444+I$446+I$448+I$450),3)</f>
        <v>0.20100000000000001</v>
      </c>
      <c r="J445" s="40">
        <f>ROUND(J444/(J$442+J$444+J$446+J$448+J$450),3)</f>
        <v>0.20100000000000001</v>
      </c>
      <c r="K445" s="41">
        <f t="shared" ref="K445:M445" si="468">ROUND(K444/(K$442+K$444+K$446+K$448+K$450),3)</f>
        <v>6.9000000000000006E-2</v>
      </c>
      <c r="L445" s="41">
        <f t="shared" si="468"/>
        <v>0.193</v>
      </c>
      <c r="M445" s="41">
        <f t="shared" si="468"/>
        <v>0.22800000000000001</v>
      </c>
      <c r="N445" s="1"/>
      <c r="O445" s="1"/>
      <c r="P445" s="1"/>
      <c r="Q445" s="1"/>
      <c r="R445" s="1"/>
      <c r="S445" s="1"/>
      <c r="T445" s="1" t="s">
        <v>154</v>
      </c>
      <c r="U445" s="6">
        <v>93</v>
      </c>
      <c r="AF445" s="7"/>
      <c r="AN445" s="1"/>
    </row>
    <row r="446" spans="2:41" x14ac:dyDescent="0.15">
      <c r="D446" s="188" t="s">
        <v>152</v>
      </c>
      <c r="E446" s="189"/>
      <c r="F446" s="22">
        <f>G446+H446+I446</f>
        <v>374</v>
      </c>
      <c r="G446" s="23">
        <v>27</v>
      </c>
      <c r="H446" s="23">
        <v>102</v>
      </c>
      <c r="I446" s="24">
        <v>245</v>
      </c>
      <c r="J446" s="22">
        <f>K446+L446+M446</f>
        <v>388</v>
      </c>
      <c r="K446" s="23">
        <v>40</v>
      </c>
      <c r="L446" s="23">
        <v>111</v>
      </c>
      <c r="M446" s="23">
        <v>237</v>
      </c>
      <c r="N446" s="1"/>
      <c r="O446" s="1"/>
      <c r="P446" s="1"/>
      <c r="Q446" s="1"/>
      <c r="R446" s="1"/>
      <c r="S446" s="1"/>
      <c r="T446" s="1" t="s">
        <v>153</v>
      </c>
      <c r="U446" s="6">
        <v>23</v>
      </c>
      <c r="AF446" s="7"/>
      <c r="AN446" s="1"/>
    </row>
    <row r="447" spans="2:41" x14ac:dyDescent="0.15">
      <c r="D447" s="191"/>
      <c r="E447" s="192"/>
      <c r="F447" s="40">
        <f>ROUND(F446/(F$442+F$444+F$446+F$448+F$450),3)</f>
        <v>0.55800000000000005</v>
      </c>
      <c r="G447" s="41">
        <f t="shared" ref="G447" si="469">ROUND(G446/(G$442+G$444+G$446+G$448+G$450),3)</f>
        <v>0.443</v>
      </c>
      <c r="H447" s="41">
        <f t="shared" ref="H447" si="470">ROUND(H446/(H$442+H$444+H$446+H$448+H$450),3)</f>
        <v>0.54800000000000004</v>
      </c>
      <c r="I447" s="42">
        <f t="shared" ref="I447" si="471">ROUND(I446/(I$442+I$444+I$446+I$448+I$450),3)</f>
        <v>0.57899999999999996</v>
      </c>
      <c r="J447" s="40">
        <f>ROUND(J446/(J$442+J$444+J$446+J$448+J$450),3)</f>
        <v>0.56100000000000005</v>
      </c>
      <c r="K447" s="41">
        <f t="shared" ref="K447:M447" si="472">ROUND(K446/(K$442+K$444+K$446+K$448+K$450),3)</f>
        <v>0.55600000000000005</v>
      </c>
      <c r="L447" s="41">
        <f t="shared" si="472"/>
        <v>0.52400000000000002</v>
      </c>
      <c r="M447" s="41">
        <f t="shared" si="472"/>
        <v>0.58099999999999996</v>
      </c>
      <c r="N447" s="1"/>
      <c r="O447" s="1"/>
      <c r="P447" s="1"/>
      <c r="Q447" s="1"/>
      <c r="R447" s="1"/>
      <c r="S447" s="1"/>
      <c r="AF447" s="7"/>
      <c r="AN447" s="1"/>
    </row>
    <row r="448" spans="2:41" x14ac:dyDescent="0.15">
      <c r="D448" s="188" t="s">
        <v>154</v>
      </c>
      <c r="E448" s="189"/>
      <c r="F448" s="22">
        <f>G448+H448+I448</f>
        <v>93</v>
      </c>
      <c r="G448" s="23">
        <v>23</v>
      </c>
      <c r="H448" s="23">
        <v>26</v>
      </c>
      <c r="I448" s="24">
        <v>44</v>
      </c>
      <c r="J448" s="22">
        <f>K448+L448+M448</f>
        <v>82</v>
      </c>
      <c r="K448" s="23">
        <v>19</v>
      </c>
      <c r="L448" s="23">
        <v>23</v>
      </c>
      <c r="M448" s="23">
        <v>40</v>
      </c>
      <c r="N448" s="1"/>
      <c r="O448" s="1"/>
      <c r="P448" s="1"/>
      <c r="Q448" s="1"/>
      <c r="R448" s="1"/>
      <c r="S448" s="1"/>
      <c r="AF448" s="7"/>
      <c r="AN448" s="1"/>
    </row>
    <row r="449" spans="2:41" x14ac:dyDescent="0.15">
      <c r="D449" s="191"/>
      <c r="E449" s="192"/>
      <c r="F449" s="40">
        <f>ROUND(F448/(F$442+F$444+F$446+F$448+F$450),3)</f>
        <v>0.13900000000000001</v>
      </c>
      <c r="G449" s="41">
        <f t="shared" ref="G449" si="473">ROUND(G448/(G$442+G$444+G$446+G$448+G$450),3)</f>
        <v>0.377</v>
      </c>
      <c r="H449" s="41">
        <f>ROUND(H448/(H$442+H$444+H$446+H$448+H$450),3)</f>
        <v>0.14000000000000001</v>
      </c>
      <c r="I449" s="42">
        <f t="shared" ref="I449" si="474">ROUND(I448/(I$442+I$444+I$446+I$448+I$450),3)</f>
        <v>0.104</v>
      </c>
      <c r="J449" s="40">
        <f>ROUND(J448/(J$442+J$444+J$446+J$448+J$450),3)</f>
        <v>0.11799999999999999</v>
      </c>
      <c r="K449" s="41">
        <f t="shared" ref="K449" si="475">ROUND(K448/(K$442+K$444+K$446+K$448+K$450),3)</f>
        <v>0.26400000000000001</v>
      </c>
      <c r="L449" s="41">
        <f>ROUND(L448/(L$442+L$444+L$446+L$448+L$450),3)+0.001</f>
        <v>0.109</v>
      </c>
      <c r="M449" s="41">
        <f t="shared" ref="M449" si="476">ROUND(M448/(M$442+M$444+M$446+M$448+M$450),3)</f>
        <v>9.8000000000000004E-2</v>
      </c>
      <c r="N449" s="1"/>
      <c r="O449" s="1"/>
      <c r="P449" s="1"/>
      <c r="Q449" s="1"/>
      <c r="R449" s="1"/>
      <c r="S449" s="1"/>
      <c r="AF449" s="7"/>
      <c r="AN449" s="1"/>
    </row>
    <row r="450" spans="2:41" x14ac:dyDescent="0.15">
      <c r="D450" s="188" t="s">
        <v>153</v>
      </c>
      <c r="E450" s="189"/>
      <c r="F450" s="22">
        <f>G450+H450+I450</f>
        <v>23</v>
      </c>
      <c r="G450" s="23">
        <v>1</v>
      </c>
      <c r="H450" s="23">
        <v>6</v>
      </c>
      <c r="I450" s="24">
        <v>16</v>
      </c>
      <c r="J450" s="22">
        <f>K450+L450+M450</f>
        <v>11</v>
      </c>
      <c r="K450" s="23">
        <v>0</v>
      </c>
      <c r="L450" s="23">
        <v>6</v>
      </c>
      <c r="M450" s="23">
        <v>5</v>
      </c>
      <c r="N450" s="1"/>
      <c r="O450" s="1"/>
      <c r="P450" s="1"/>
      <c r="Q450" s="1"/>
      <c r="R450" s="1"/>
      <c r="S450" s="1"/>
      <c r="AF450" s="7"/>
      <c r="AN450" s="1"/>
    </row>
    <row r="451" spans="2:41" x14ac:dyDescent="0.15">
      <c r="D451" s="191"/>
      <c r="E451" s="192"/>
      <c r="F451" s="40">
        <f>ROUND(F450/(F$442+F$444+F$446+F$448+F$450),3)</f>
        <v>3.4000000000000002E-2</v>
      </c>
      <c r="G451" s="41">
        <f t="shared" ref="G451" si="477">ROUND(G450/(G$442+G$444+G$446+G$448+G$450),3)</f>
        <v>1.6E-2</v>
      </c>
      <c r="H451" s="41">
        <f t="shared" ref="H451" si="478">ROUND(H450/(H$442+H$444+H$446+H$448+H$450),3)</f>
        <v>3.2000000000000001E-2</v>
      </c>
      <c r="I451" s="42">
        <f t="shared" ref="I451" si="479">ROUND(I450/(I$442+I$444+I$446+I$448+I$450),3)</f>
        <v>3.7999999999999999E-2</v>
      </c>
      <c r="J451" s="40">
        <f>ROUND(J450/(J$442+J$444+J$446+J$448+J$450),3)</f>
        <v>1.6E-2</v>
      </c>
      <c r="K451" s="41">
        <f t="shared" ref="K451:M451" si="480">ROUND(K450/(K$442+K$444+K$446+K$448+K$450),3)</f>
        <v>0</v>
      </c>
      <c r="L451" s="41">
        <f t="shared" si="480"/>
        <v>2.8000000000000001E-2</v>
      </c>
      <c r="M451" s="41">
        <f t="shared" si="480"/>
        <v>1.2E-2</v>
      </c>
      <c r="N451" s="1"/>
      <c r="O451" s="1"/>
      <c r="P451" s="1"/>
      <c r="Q451" s="1"/>
      <c r="R451" s="1"/>
      <c r="S451" s="1"/>
      <c r="AF451" s="7"/>
      <c r="AN451" s="1"/>
    </row>
    <row r="452" spans="2:41" x14ac:dyDescent="0.15">
      <c r="D452" s="187" t="s">
        <v>20</v>
      </c>
      <c r="E452" s="194"/>
      <c r="F452" s="22">
        <f>F442+F444+F446+F448+F450</f>
        <v>670</v>
      </c>
      <c r="G452" s="23">
        <f t="shared" ref="G452:I452" si="481">G442+G444+G446+G448+G450</f>
        <v>61</v>
      </c>
      <c r="H452" s="23">
        <f t="shared" si="481"/>
        <v>186</v>
      </c>
      <c r="I452" s="24">
        <f t="shared" si="481"/>
        <v>423</v>
      </c>
      <c r="J452" s="22">
        <f>J442+J444+J446+J448+J450</f>
        <v>692</v>
      </c>
      <c r="K452" s="23">
        <f t="shared" ref="K452:M452" si="482">K442+K444+K446+K448+K450</f>
        <v>72</v>
      </c>
      <c r="L452" s="23">
        <f t="shared" si="482"/>
        <v>212</v>
      </c>
      <c r="M452" s="23">
        <f t="shared" si="482"/>
        <v>408</v>
      </c>
      <c r="N452" s="1"/>
      <c r="O452" s="1"/>
      <c r="P452" s="1"/>
      <c r="Q452" s="1"/>
      <c r="R452" s="1"/>
      <c r="S452" s="1"/>
      <c r="AF452" s="7"/>
      <c r="AN452" s="1"/>
    </row>
    <row r="453" spans="2:41" ht="14.25" thickBot="1" x14ac:dyDescent="0.2">
      <c r="D453" s="187"/>
      <c r="E453" s="194"/>
      <c r="F453" s="133">
        <f>F443+F445+F447+F449+F451</f>
        <v>1</v>
      </c>
      <c r="G453" s="134">
        <f t="shared" ref="G453:I453" si="483">G443+G445+G447+G449+G451</f>
        <v>1</v>
      </c>
      <c r="H453" s="134">
        <f t="shared" si="483"/>
        <v>0.999</v>
      </c>
      <c r="I453" s="135">
        <f t="shared" si="483"/>
        <v>1</v>
      </c>
      <c r="J453" s="137">
        <f>J443+J445+J447+J449+J451</f>
        <v>1</v>
      </c>
      <c r="K453" s="136">
        <f t="shared" ref="K453:M453" si="484">K443+K445+K447+K449+K451</f>
        <v>1</v>
      </c>
      <c r="L453" s="136">
        <f t="shared" si="484"/>
        <v>1</v>
      </c>
      <c r="M453" s="136">
        <f t="shared" si="484"/>
        <v>0.99999999999999989</v>
      </c>
      <c r="N453" s="1"/>
      <c r="O453" s="1"/>
      <c r="P453" s="1"/>
      <c r="Q453" s="1"/>
      <c r="R453" s="1"/>
      <c r="S453" s="1"/>
      <c r="AF453" s="7"/>
      <c r="AN453" s="1"/>
    </row>
    <row r="454" spans="2:41" x14ac:dyDescent="0.15">
      <c r="D454" s="82"/>
      <c r="E454" s="129"/>
      <c r="F454" s="129"/>
      <c r="G454" s="57"/>
      <c r="H454" s="57"/>
      <c r="I454" s="57"/>
      <c r="J454" s="57"/>
      <c r="K454" s="57"/>
      <c r="L454" s="57"/>
      <c r="M454" s="57"/>
      <c r="N454" s="57"/>
      <c r="O454" s="69"/>
      <c r="P454" s="57"/>
      <c r="Q454" s="57"/>
      <c r="R454" s="57"/>
      <c r="S454" s="57"/>
      <c r="T454" s="50"/>
      <c r="U454" s="12"/>
      <c r="V454" s="50"/>
      <c r="W454" s="34"/>
      <c r="X454" s="2"/>
      <c r="AN454" s="1"/>
      <c r="AO454" s="7"/>
    </row>
    <row r="455" spans="2:41" x14ac:dyDescent="0.15">
      <c r="D455" s="82"/>
      <c r="E455" s="129"/>
      <c r="F455" s="129"/>
      <c r="G455" s="57"/>
      <c r="H455" s="57"/>
      <c r="I455" s="57"/>
      <c r="J455" s="57"/>
      <c r="K455" s="57"/>
      <c r="L455" s="57"/>
      <c r="M455" s="57"/>
      <c r="N455" s="57"/>
      <c r="O455" s="69"/>
      <c r="P455" s="57"/>
      <c r="Q455" s="57"/>
      <c r="R455" s="57"/>
      <c r="S455" s="57"/>
      <c r="T455" s="50"/>
      <c r="U455" s="12"/>
      <c r="V455" s="50"/>
      <c r="W455" s="34"/>
      <c r="X455" s="2"/>
      <c r="AN455" s="1"/>
      <c r="AO455" s="7"/>
    </row>
    <row r="456" spans="2:41" x14ac:dyDescent="0.15">
      <c r="D456" s="82"/>
      <c r="E456" s="129"/>
      <c r="F456" s="129"/>
      <c r="G456" s="57"/>
      <c r="H456" s="57"/>
      <c r="I456" s="57"/>
      <c r="J456" s="57"/>
      <c r="K456" s="57"/>
      <c r="L456" s="57"/>
      <c r="M456" s="57"/>
      <c r="N456" s="57"/>
      <c r="O456" s="69"/>
      <c r="P456" s="57"/>
      <c r="Q456" s="57"/>
      <c r="R456" s="57"/>
      <c r="S456" s="57"/>
      <c r="T456" s="50"/>
      <c r="U456" s="12"/>
      <c r="V456" s="50"/>
      <c r="W456" s="34"/>
      <c r="X456" s="2"/>
      <c r="AN456" s="1"/>
      <c r="AO456" s="7"/>
    </row>
    <row r="457" spans="2:41" ht="14.25" thickBot="1" x14ac:dyDescent="0.2">
      <c r="B457" s="3" t="s">
        <v>105</v>
      </c>
      <c r="K457" s="5"/>
      <c r="O457" s="5"/>
    </row>
    <row r="458" spans="2:41" x14ac:dyDescent="0.15">
      <c r="D458" s="203"/>
      <c r="E458" s="197"/>
      <c r="F458" s="184" t="s">
        <v>265</v>
      </c>
      <c r="G458" s="185"/>
      <c r="H458" s="185"/>
      <c r="I458" s="186"/>
      <c r="J458" s="182" t="s">
        <v>60</v>
      </c>
      <c r="K458" s="187"/>
      <c r="L458" s="187"/>
      <c r="M458" s="187"/>
      <c r="N458" s="1"/>
      <c r="O458" s="1"/>
      <c r="P458" s="1"/>
      <c r="Q458" s="1"/>
      <c r="R458" s="1"/>
      <c r="S458" s="1"/>
      <c r="AF458" s="7"/>
      <c r="AN458" s="1"/>
    </row>
    <row r="459" spans="2:41" x14ac:dyDescent="0.15">
      <c r="D459" s="210"/>
      <c r="E459" s="211"/>
      <c r="F459" s="124"/>
      <c r="G459" s="128" t="s">
        <v>11</v>
      </c>
      <c r="H459" s="128" t="s">
        <v>12</v>
      </c>
      <c r="I459" s="39" t="s">
        <v>13</v>
      </c>
      <c r="J459" s="124"/>
      <c r="K459" s="128" t="s">
        <v>11</v>
      </c>
      <c r="L459" s="128" t="s">
        <v>12</v>
      </c>
      <c r="M459" s="128" t="s">
        <v>13</v>
      </c>
      <c r="N459" s="1"/>
      <c r="O459" s="1"/>
      <c r="P459" s="1"/>
      <c r="Q459" s="1"/>
      <c r="R459" s="1"/>
      <c r="S459" s="1"/>
      <c r="AF459" s="7"/>
      <c r="AN459" s="1"/>
    </row>
    <row r="460" spans="2:41" x14ac:dyDescent="0.15">
      <c r="D460" s="188" t="s">
        <v>106</v>
      </c>
      <c r="E460" s="189"/>
      <c r="F460" s="22">
        <f>G460+H460+I460</f>
        <v>161</v>
      </c>
      <c r="G460" s="23">
        <v>14</v>
      </c>
      <c r="H460" s="23">
        <v>45</v>
      </c>
      <c r="I460" s="24">
        <v>102</v>
      </c>
      <c r="J460" s="22">
        <f>K460+L460+M460</f>
        <v>137</v>
      </c>
      <c r="K460" s="23">
        <v>15</v>
      </c>
      <c r="L460" s="23">
        <v>38</v>
      </c>
      <c r="M460" s="23">
        <v>84</v>
      </c>
      <c r="N460" s="1"/>
      <c r="O460" s="1"/>
      <c r="P460" s="1"/>
      <c r="Q460" s="1"/>
      <c r="R460" s="1"/>
      <c r="S460" s="1"/>
      <c r="T460" s="1" t="s">
        <v>106</v>
      </c>
      <c r="U460" s="6">
        <v>161</v>
      </c>
      <c r="AF460" s="7"/>
      <c r="AN460" s="1"/>
    </row>
    <row r="461" spans="2:41" x14ac:dyDescent="0.15">
      <c r="D461" s="191"/>
      <c r="E461" s="192"/>
      <c r="F461" s="40">
        <f>ROUND(F460/(F$460+F$462+F$464+F$466),3)</f>
        <v>0.24199999999999999</v>
      </c>
      <c r="G461" s="41">
        <f t="shared" ref="G461:I461" si="485">ROUND(G460/(G$460+G$462+G$464+G$466),3)</f>
        <v>0.23300000000000001</v>
      </c>
      <c r="H461" s="41">
        <f t="shared" si="485"/>
        <v>0.24199999999999999</v>
      </c>
      <c r="I461" s="42">
        <f t="shared" si="485"/>
        <v>0.24299999999999999</v>
      </c>
      <c r="J461" s="40">
        <f>ROUND(J460/(J$460+J$462+J$464+J$466),3)</f>
        <v>0.19500000000000001</v>
      </c>
      <c r="K461" s="41">
        <f t="shared" ref="K461:M461" si="486">ROUND(K460/(K$460+K$462+K$464+K$466),3)</f>
        <v>0.2</v>
      </c>
      <c r="L461" s="41">
        <f t="shared" si="486"/>
        <v>0.17599999999999999</v>
      </c>
      <c r="M461" s="41">
        <f t="shared" si="486"/>
        <v>0.20399999999999999</v>
      </c>
      <c r="N461" s="1"/>
      <c r="O461" s="1"/>
      <c r="P461" s="1"/>
      <c r="Q461" s="1"/>
      <c r="R461" s="1"/>
      <c r="S461" s="1"/>
      <c r="T461" s="1" t="s">
        <v>107</v>
      </c>
      <c r="U461" s="6">
        <v>377</v>
      </c>
      <c r="AF461" s="7"/>
      <c r="AN461" s="1"/>
    </row>
    <row r="462" spans="2:41" x14ac:dyDescent="0.15">
      <c r="D462" s="209" t="s">
        <v>107</v>
      </c>
      <c r="E462" s="189"/>
      <c r="F462" s="22">
        <f>G462+H462+I462</f>
        <v>377</v>
      </c>
      <c r="G462" s="23">
        <v>34</v>
      </c>
      <c r="H462" s="23">
        <v>98</v>
      </c>
      <c r="I462" s="24">
        <v>245</v>
      </c>
      <c r="J462" s="22">
        <f>K462+L462+M462</f>
        <v>409</v>
      </c>
      <c r="K462" s="23">
        <v>41</v>
      </c>
      <c r="L462" s="23">
        <v>127</v>
      </c>
      <c r="M462" s="23">
        <v>241</v>
      </c>
      <c r="N462" s="1"/>
      <c r="O462" s="1"/>
      <c r="P462" s="1"/>
      <c r="Q462" s="1"/>
      <c r="R462" s="1"/>
      <c r="S462" s="1"/>
      <c r="T462" s="1" t="s">
        <v>108</v>
      </c>
      <c r="U462" s="6">
        <v>95</v>
      </c>
      <c r="AF462" s="7"/>
      <c r="AN462" s="1"/>
    </row>
    <row r="463" spans="2:41" x14ac:dyDescent="0.15">
      <c r="D463" s="191"/>
      <c r="E463" s="192"/>
      <c r="F463" s="40">
        <f>ROUND(F462/(F$460+F$462+F$464+F$466),3)</f>
        <v>0.56599999999999995</v>
      </c>
      <c r="G463" s="41">
        <f t="shared" ref="G463" si="487">ROUND(G462/(G$460+G$462+G$464+G$466),3)</f>
        <v>0.56699999999999995</v>
      </c>
      <c r="H463" s="41">
        <f t="shared" ref="H463" si="488">ROUND(H462/(H$460+H$462+H$464+H$466),3)</f>
        <v>0.52700000000000002</v>
      </c>
      <c r="I463" s="42">
        <f t="shared" ref="I463" si="489">ROUND(I462/(I$460+I$462+I$464+I$466),3)</f>
        <v>0.58299999999999996</v>
      </c>
      <c r="J463" s="40">
        <f>ROUND(J462/(J$460+J$462+J$464+J$466),3)</f>
        <v>0.58199999999999996</v>
      </c>
      <c r="K463" s="41">
        <f t="shared" ref="K463:M463" si="490">ROUND(K462/(K$460+K$462+K$464+K$466),3)</f>
        <v>0.54700000000000004</v>
      </c>
      <c r="L463" s="41">
        <f t="shared" si="490"/>
        <v>0.58799999999999997</v>
      </c>
      <c r="M463" s="41">
        <f t="shared" si="490"/>
        <v>0.58499999999999996</v>
      </c>
      <c r="N463" s="1"/>
      <c r="O463" s="1"/>
      <c r="P463" s="1"/>
      <c r="Q463" s="1"/>
      <c r="R463" s="1"/>
      <c r="S463" s="1"/>
      <c r="T463" s="1" t="s">
        <v>109</v>
      </c>
      <c r="U463" s="6">
        <v>33</v>
      </c>
      <c r="AF463" s="7"/>
      <c r="AN463" s="1"/>
    </row>
    <row r="464" spans="2:41" x14ac:dyDescent="0.15">
      <c r="D464" s="209" t="s">
        <v>108</v>
      </c>
      <c r="E464" s="189"/>
      <c r="F464" s="22">
        <f>G464+H464+I464</f>
        <v>95</v>
      </c>
      <c r="G464" s="23">
        <v>7</v>
      </c>
      <c r="H464" s="23">
        <v>36</v>
      </c>
      <c r="I464" s="24">
        <v>52</v>
      </c>
      <c r="J464" s="22">
        <f>K464+L464+M464</f>
        <v>119</v>
      </c>
      <c r="K464" s="23">
        <v>13</v>
      </c>
      <c r="L464" s="23">
        <v>39</v>
      </c>
      <c r="M464" s="23">
        <v>67</v>
      </c>
      <c r="N464" s="1"/>
      <c r="O464" s="1"/>
      <c r="P464" s="1"/>
      <c r="Q464" s="1"/>
      <c r="R464" s="1"/>
      <c r="S464" s="1"/>
      <c r="AF464" s="7"/>
      <c r="AN464" s="1"/>
    </row>
    <row r="465" spans="2:41" x14ac:dyDescent="0.15">
      <c r="D465" s="191"/>
      <c r="E465" s="192"/>
      <c r="F465" s="40">
        <f>ROUND(F464/(F$460+F$462+F$464+F$466),3)</f>
        <v>0.14299999999999999</v>
      </c>
      <c r="G465" s="41">
        <f t="shared" ref="G465" si="491">ROUND(G464/(G$460+G$462+G$464+G$466),3)</f>
        <v>0.11700000000000001</v>
      </c>
      <c r="H465" s="41">
        <f>ROUND(H464/(H$460+H$462+H$464+H$466),3)</f>
        <v>0.19400000000000001</v>
      </c>
      <c r="I465" s="42">
        <f t="shared" ref="I465" si="492">ROUND(I464/(I$460+I$462+I$464+I$466),3)</f>
        <v>0.124</v>
      </c>
      <c r="J465" s="40">
        <f>ROUND(J464/(J$460+J$462+J$464+J$466),3)</f>
        <v>0.16900000000000001</v>
      </c>
      <c r="K465" s="41">
        <f t="shared" ref="K465" si="493">ROUND(K464/(K$460+K$462+K$464+K$466),3)</f>
        <v>0.17299999999999999</v>
      </c>
      <c r="L465" s="41">
        <f>ROUND(L464/(L$460+L$462+L$464+L$466),3)-0.001</f>
        <v>0.18</v>
      </c>
      <c r="M465" s="41">
        <f t="shared" ref="M465" si="494">ROUND(M464/(M$460+M$462+M$464+M$466),3)</f>
        <v>0.16300000000000001</v>
      </c>
      <c r="N465" s="1"/>
      <c r="O465" s="1"/>
      <c r="P465" s="1"/>
      <c r="Q465" s="1"/>
      <c r="R465" s="1"/>
      <c r="S465" s="1"/>
      <c r="AF465" s="7"/>
      <c r="AN465" s="1"/>
    </row>
    <row r="466" spans="2:41" x14ac:dyDescent="0.15">
      <c r="D466" s="188" t="s">
        <v>109</v>
      </c>
      <c r="E466" s="189"/>
      <c r="F466" s="22">
        <f>G466+H466+I466</f>
        <v>33</v>
      </c>
      <c r="G466" s="23">
        <v>5</v>
      </c>
      <c r="H466" s="23">
        <v>7</v>
      </c>
      <c r="I466" s="24">
        <v>21</v>
      </c>
      <c r="J466" s="22">
        <f>K466+L466+M466</f>
        <v>38</v>
      </c>
      <c r="K466" s="23">
        <v>6</v>
      </c>
      <c r="L466" s="23">
        <v>12</v>
      </c>
      <c r="M466" s="23">
        <v>20</v>
      </c>
      <c r="N466" s="1"/>
      <c r="O466" s="1"/>
      <c r="P466" s="1"/>
      <c r="Q466" s="1"/>
      <c r="R466" s="1"/>
      <c r="S466" s="1"/>
      <c r="AF466" s="7"/>
      <c r="AN466" s="1"/>
    </row>
    <row r="467" spans="2:41" x14ac:dyDescent="0.15">
      <c r="D467" s="191"/>
      <c r="E467" s="192"/>
      <c r="F467" s="40">
        <f>ROUND(F466/(F$460+F$462+F$464+F$466),3)</f>
        <v>0.05</v>
      </c>
      <c r="G467" s="41">
        <f t="shared" ref="G467" si="495">ROUND(G466/(G$460+G$462+G$464+G$466),3)</f>
        <v>8.3000000000000004E-2</v>
      </c>
      <c r="H467" s="41">
        <f t="shared" ref="H467" si="496">ROUND(H466/(H$460+H$462+H$464+H$466),3)</f>
        <v>3.7999999999999999E-2</v>
      </c>
      <c r="I467" s="42">
        <f>ROUND(I466/(I$460+I$462+I$464+I$466),3)-0.001</f>
        <v>4.9000000000000002E-2</v>
      </c>
      <c r="J467" s="40">
        <f>ROUND(J466/(J$460+J$462+J$464+J$466),3)</f>
        <v>5.3999999999999999E-2</v>
      </c>
      <c r="K467" s="41">
        <f t="shared" ref="K467:L467" si="497">ROUND(K466/(K$460+K$462+K$464+K$466),3)</f>
        <v>0.08</v>
      </c>
      <c r="L467" s="41">
        <f t="shared" si="497"/>
        <v>5.6000000000000001E-2</v>
      </c>
      <c r="M467" s="41">
        <f>ROUND(M466/(M$460+M$462+M$464+M$466),3)-0.001</f>
        <v>4.8000000000000001E-2</v>
      </c>
      <c r="N467" s="1"/>
      <c r="O467" s="1"/>
      <c r="P467" s="1"/>
      <c r="Q467" s="1"/>
      <c r="R467" s="1"/>
      <c r="S467" s="1"/>
      <c r="AF467" s="7"/>
      <c r="AN467" s="1"/>
    </row>
    <row r="468" spans="2:41" x14ac:dyDescent="0.15">
      <c r="D468" s="187" t="s">
        <v>20</v>
      </c>
      <c r="E468" s="194"/>
      <c r="F468" s="22">
        <f>F460+F462+F464+F466</f>
        <v>666</v>
      </c>
      <c r="G468" s="23">
        <f t="shared" ref="G468:I468" si="498">G460+G462+G464+G466</f>
        <v>60</v>
      </c>
      <c r="H468" s="23">
        <f t="shared" si="498"/>
        <v>186</v>
      </c>
      <c r="I468" s="24">
        <f t="shared" si="498"/>
        <v>420</v>
      </c>
      <c r="J468" s="22">
        <f>J460+J462+J464+J466</f>
        <v>703</v>
      </c>
      <c r="K468" s="23">
        <f t="shared" ref="K468:M468" si="499">K460+K462+K464+K466</f>
        <v>75</v>
      </c>
      <c r="L468" s="23">
        <f t="shared" si="499"/>
        <v>216</v>
      </c>
      <c r="M468" s="23">
        <f t="shared" si="499"/>
        <v>412</v>
      </c>
      <c r="N468" s="1"/>
      <c r="O468" s="1"/>
      <c r="P468" s="1"/>
      <c r="Q468" s="1"/>
      <c r="R468" s="1"/>
      <c r="S468" s="1"/>
      <c r="AF468" s="7"/>
      <c r="AN468" s="1"/>
    </row>
    <row r="469" spans="2:41" ht="14.25" thickBot="1" x14ac:dyDescent="0.2">
      <c r="D469" s="187"/>
      <c r="E469" s="194"/>
      <c r="F469" s="133">
        <f>F461+F463+F465+F467</f>
        <v>1.0009999999999999</v>
      </c>
      <c r="G469" s="134">
        <f t="shared" ref="G469:I469" si="500">G461+G463+G465+G467</f>
        <v>0.99999999999999989</v>
      </c>
      <c r="H469" s="134">
        <f t="shared" si="500"/>
        <v>1.0010000000000001</v>
      </c>
      <c r="I469" s="135">
        <f t="shared" si="500"/>
        <v>0.999</v>
      </c>
      <c r="J469" s="137">
        <f>J461+J463+J465+J467</f>
        <v>1</v>
      </c>
      <c r="K469" s="136">
        <f t="shared" ref="K469:M469" si="501">K461+K463+K465+K467</f>
        <v>1.0000000000000002</v>
      </c>
      <c r="L469" s="136">
        <f t="shared" si="501"/>
        <v>1</v>
      </c>
      <c r="M469" s="136">
        <f t="shared" si="501"/>
        <v>1</v>
      </c>
      <c r="N469" s="1"/>
      <c r="O469" s="1"/>
      <c r="P469" s="1"/>
      <c r="Q469" s="1"/>
      <c r="R469" s="1"/>
      <c r="S469" s="1"/>
      <c r="AF469" s="7"/>
      <c r="AN469" s="1"/>
    </row>
    <row r="470" spans="2:41" x14ac:dyDescent="0.15">
      <c r="D470" s="82"/>
      <c r="E470" s="129"/>
      <c r="F470" s="129"/>
      <c r="G470" s="57"/>
      <c r="H470" s="57"/>
      <c r="I470" s="57"/>
      <c r="J470" s="57"/>
      <c r="K470" s="57"/>
      <c r="L470" s="57"/>
      <c r="M470" s="57"/>
      <c r="N470" s="57"/>
      <c r="O470" s="69"/>
      <c r="P470" s="57"/>
      <c r="Q470" s="57"/>
      <c r="R470" s="57"/>
      <c r="S470" s="57"/>
      <c r="T470" s="50"/>
      <c r="U470" s="12"/>
      <c r="V470" s="50"/>
      <c r="W470" s="34"/>
      <c r="X470" s="2"/>
      <c r="AN470" s="1"/>
      <c r="AO470" s="7"/>
    </row>
    <row r="471" spans="2:41" x14ac:dyDescent="0.15">
      <c r="D471" s="82"/>
      <c r="E471" s="129"/>
      <c r="F471" s="129"/>
      <c r="G471" s="57"/>
      <c r="H471" s="57"/>
      <c r="I471" s="57"/>
      <c r="J471" s="57"/>
      <c r="K471" s="57"/>
      <c r="L471" s="57"/>
      <c r="M471" s="57"/>
      <c r="N471" s="57"/>
      <c r="O471" s="69"/>
      <c r="P471" s="57"/>
      <c r="Q471" s="57"/>
      <c r="R471" s="57"/>
      <c r="S471" s="57"/>
      <c r="T471" s="50"/>
      <c r="U471" s="12"/>
      <c r="V471" s="50"/>
      <c r="W471" s="34"/>
      <c r="X471" s="2"/>
      <c r="AN471" s="1"/>
      <c r="AO471" s="7"/>
    </row>
    <row r="472" spans="2:41" x14ac:dyDescent="0.15">
      <c r="D472" s="82"/>
      <c r="E472" s="129"/>
      <c r="F472" s="129"/>
      <c r="G472" s="57"/>
      <c r="H472" s="57"/>
      <c r="I472" s="57"/>
      <c r="J472" s="57"/>
      <c r="K472" s="57"/>
      <c r="L472" s="57"/>
      <c r="M472" s="57"/>
      <c r="N472" s="57"/>
      <c r="O472" s="69"/>
      <c r="P472" s="57"/>
      <c r="Q472" s="57"/>
      <c r="R472" s="57"/>
      <c r="S472" s="57"/>
      <c r="T472" s="50"/>
      <c r="U472" s="12"/>
      <c r="V472" s="50"/>
      <c r="W472" s="34"/>
      <c r="X472" s="2"/>
      <c r="AN472" s="1"/>
      <c r="AO472" s="7"/>
    </row>
    <row r="473" spans="2:41" x14ac:dyDescent="0.15">
      <c r="B473" s="3" t="s">
        <v>134</v>
      </c>
      <c r="K473" s="5"/>
      <c r="O473" s="5"/>
    </row>
    <row r="474" spans="2:41" ht="14.25" thickBot="1" x14ac:dyDescent="0.2">
      <c r="B474" s="3"/>
      <c r="C474" s="2" t="s">
        <v>61</v>
      </c>
      <c r="K474" s="5"/>
      <c r="O474" s="5"/>
    </row>
    <row r="475" spans="2:41" x14ac:dyDescent="0.15">
      <c r="D475" s="203"/>
      <c r="E475" s="197"/>
      <c r="F475" s="184" t="s">
        <v>265</v>
      </c>
      <c r="G475" s="185"/>
      <c r="H475" s="185"/>
      <c r="I475" s="186"/>
      <c r="J475" s="182" t="s">
        <v>60</v>
      </c>
      <c r="K475" s="187"/>
      <c r="L475" s="187"/>
      <c r="M475" s="187"/>
      <c r="N475" s="1"/>
      <c r="O475" s="1"/>
      <c r="P475" s="1"/>
      <c r="Q475" s="1"/>
      <c r="R475" s="1"/>
      <c r="S475" s="1"/>
      <c r="AF475" s="7"/>
      <c r="AN475" s="1"/>
    </row>
    <row r="476" spans="2:41" x14ac:dyDescent="0.15">
      <c r="D476" s="210"/>
      <c r="E476" s="211"/>
      <c r="F476" s="124"/>
      <c r="G476" s="128" t="s">
        <v>11</v>
      </c>
      <c r="H476" s="128" t="s">
        <v>12</v>
      </c>
      <c r="I476" s="39" t="s">
        <v>13</v>
      </c>
      <c r="J476" s="124"/>
      <c r="K476" s="128" t="s">
        <v>11</v>
      </c>
      <c r="L476" s="128" t="s">
        <v>12</v>
      </c>
      <c r="M476" s="128" t="s">
        <v>13</v>
      </c>
      <c r="N476" s="1"/>
      <c r="O476" s="1"/>
      <c r="P476" s="1"/>
      <c r="Q476" s="1"/>
      <c r="R476" s="1"/>
      <c r="S476" s="1"/>
      <c r="AF476" s="7"/>
      <c r="AN476" s="1"/>
    </row>
    <row r="477" spans="2:41" x14ac:dyDescent="0.15">
      <c r="D477" s="188" t="s">
        <v>106</v>
      </c>
      <c r="E477" s="189"/>
      <c r="F477" s="22">
        <f>G477+H477+I477</f>
        <v>177</v>
      </c>
      <c r="G477" s="23">
        <v>21</v>
      </c>
      <c r="H477" s="23">
        <v>49</v>
      </c>
      <c r="I477" s="24">
        <v>107</v>
      </c>
      <c r="J477" s="22">
        <f>K477+L477+M477</f>
        <v>120</v>
      </c>
      <c r="K477" s="23">
        <v>13</v>
      </c>
      <c r="L477" s="23">
        <v>34</v>
      </c>
      <c r="M477" s="23">
        <v>73</v>
      </c>
      <c r="N477" s="1"/>
      <c r="O477" s="1"/>
      <c r="P477" s="1"/>
      <c r="Q477" s="1"/>
      <c r="R477" s="1"/>
      <c r="S477" s="1"/>
      <c r="T477" s="1" t="s">
        <v>106</v>
      </c>
      <c r="U477" s="6">
        <v>177</v>
      </c>
      <c r="AF477" s="7"/>
      <c r="AN477" s="1"/>
    </row>
    <row r="478" spans="2:41" x14ac:dyDescent="0.15">
      <c r="D478" s="191"/>
      <c r="E478" s="192"/>
      <c r="F478" s="40">
        <f>ROUND(F477/(F$477+F$479+F$481+F$483),3)</f>
        <v>0.26700000000000002</v>
      </c>
      <c r="G478" s="41">
        <f t="shared" ref="G478" si="502">ROUND(G477/(G$477+G$479+G$481+G$483),3)</f>
        <v>0.35</v>
      </c>
      <c r="H478" s="41">
        <f t="shared" ref="H478" si="503">ROUND(H477/(H$477+H$479+H$481+H$483),3)</f>
        <v>0.26500000000000001</v>
      </c>
      <c r="I478" s="42">
        <f t="shared" ref="I478" si="504">ROUND(I477/(I$477+I$479+I$481+I$483),3)</f>
        <v>0.25700000000000001</v>
      </c>
      <c r="J478" s="40">
        <f>ROUND(J477/(J$477+J$479+J$481+J$483),3)</f>
        <v>0.17799999999999999</v>
      </c>
      <c r="K478" s="41">
        <f t="shared" ref="K478:M478" si="505">ROUND(K477/(K$477+K$479+K$481+K$483),3)</f>
        <v>0.17100000000000001</v>
      </c>
      <c r="L478" s="41">
        <f t="shared" si="505"/>
        <v>0.16300000000000001</v>
      </c>
      <c r="M478" s="41">
        <f t="shared" si="505"/>
        <v>0.187</v>
      </c>
      <c r="N478" s="1"/>
      <c r="O478" s="1"/>
      <c r="P478" s="1"/>
      <c r="Q478" s="1"/>
      <c r="R478" s="1"/>
      <c r="S478" s="1"/>
      <c r="T478" s="1" t="s">
        <v>107</v>
      </c>
      <c r="U478" s="6">
        <v>337</v>
      </c>
      <c r="AF478" s="7"/>
      <c r="AN478" s="1"/>
    </row>
    <row r="479" spans="2:41" x14ac:dyDescent="0.15">
      <c r="D479" s="209" t="s">
        <v>107</v>
      </c>
      <c r="E479" s="189"/>
      <c r="F479" s="22">
        <f>G479+H479+I479</f>
        <v>337</v>
      </c>
      <c r="G479" s="23">
        <v>28</v>
      </c>
      <c r="H479" s="23">
        <v>94</v>
      </c>
      <c r="I479" s="24">
        <v>215</v>
      </c>
      <c r="J479" s="22">
        <f>K479+L479+M479</f>
        <v>403</v>
      </c>
      <c r="K479" s="23">
        <v>42</v>
      </c>
      <c r="L479" s="23">
        <v>131</v>
      </c>
      <c r="M479" s="23">
        <v>230</v>
      </c>
      <c r="N479" s="1"/>
      <c r="O479" s="1"/>
      <c r="P479" s="1"/>
      <c r="Q479" s="1"/>
      <c r="R479" s="1"/>
      <c r="S479" s="1"/>
      <c r="T479" s="1" t="s">
        <v>108</v>
      </c>
      <c r="U479" s="6">
        <v>112</v>
      </c>
      <c r="AF479" s="7"/>
      <c r="AN479" s="1"/>
    </row>
    <row r="480" spans="2:41" x14ac:dyDescent="0.15">
      <c r="D480" s="191"/>
      <c r="E480" s="192"/>
      <c r="F480" s="40">
        <f>ROUND(F479/(F$477+F$479+F$481+F$483),3)</f>
        <v>0.50900000000000001</v>
      </c>
      <c r="G480" s="41">
        <f>ROUND(G479/(G$477+G$479+G$481+G$483),3)</f>
        <v>0.46700000000000003</v>
      </c>
      <c r="H480" s="41">
        <f t="shared" ref="H480:I480" si="506">ROUND(H479/(H$477+H$479+H$481+H$483),3)</f>
        <v>0.50800000000000001</v>
      </c>
      <c r="I480" s="42">
        <f t="shared" si="506"/>
        <v>0.51600000000000001</v>
      </c>
      <c r="J480" s="40">
        <f>ROUND(J479/(J$477+J$479+J$481+J$483),3)</f>
        <v>0.59699999999999998</v>
      </c>
      <c r="K480" s="41">
        <f>ROUND(K479/(K$477+K$479+K$481+K$483),3)-0.001</f>
        <v>0.55200000000000005</v>
      </c>
      <c r="L480" s="41">
        <f t="shared" ref="L480:M480" si="507">ROUND(L479/(L$477+L$479+L$481+L$483),3)</f>
        <v>0.63</v>
      </c>
      <c r="M480" s="41">
        <f t="shared" si="507"/>
        <v>0.58799999999999997</v>
      </c>
      <c r="N480" s="1"/>
      <c r="O480" s="1"/>
      <c r="P480" s="1"/>
      <c r="Q480" s="1"/>
      <c r="R480" s="1"/>
      <c r="S480" s="1"/>
      <c r="T480" s="1" t="s">
        <v>109</v>
      </c>
      <c r="U480" s="6">
        <v>36</v>
      </c>
      <c r="AF480" s="7"/>
      <c r="AN480" s="1"/>
    </row>
    <row r="481" spans="2:41" x14ac:dyDescent="0.15">
      <c r="D481" s="209" t="s">
        <v>108</v>
      </c>
      <c r="E481" s="189"/>
      <c r="F481" s="22">
        <f>G481+H481+I481</f>
        <v>112</v>
      </c>
      <c r="G481" s="23">
        <v>9</v>
      </c>
      <c r="H481" s="23">
        <v>32</v>
      </c>
      <c r="I481" s="24">
        <v>71</v>
      </c>
      <c r="J481" s="22">
        <f>K481+L481+M481</f>
        <v>117</v>
      </c>
      <c r="K481" s="23">
        <v>17</v>
      </c>
      <c r="L481" s="23">
        <v>34</v>
      </c>
      <c r="M481" s="23">
        <v>66</v>
      </c>
      <c r="N481" s="1"/>
      <c r="O481" s="1"/>
      <c r="P481" s="1"/>
      <c r="Q481" s="1"/>
      <c r="R481" s="1"/>
      <c r="S481" s="1"/>
      <c r="AF481" s="7"/>
      <c r="AN481" s="1"/>
    </row>
    <row r="482" spans="2:41" x14ac:dyDescent="0.15">
      <c r="D482" s="191"/>
      <c r="E482" s="192"/>
      <c r="F482" s="40">
        <f>ROUND(F481/(F$477+F$479+F$481+F$483),3)</f>
        <v>0.16900000000000001</v>
      </c>
      <c r="G482" s="41">
        <f t="shared" ref="G482" si="508">ROUND(G481/(G$477+G$479+G$481+G$483),3)</f>
        <v>0.15</v>
      </c>
      <c r="H482" s="41">
        <f>ROUND(H481/(H$477+H$479+H$481+H$483),3)+0.001</f>
        <v>0.17399999999999999</v>
      </c>
      <c r="I482" s="42">
        <f t="shared" ref="I482" si="509">ROUND(I481/(I$477+I$479+I$481+I$483),3)</f>
        <v>0.17</v>
      </c>
      <c r="J482" s="40">
        <f>ROUND(J481/(J$477+J$479+J$481+J$483),3)</f>
        <v>0.17299999999999999</v>
      </c>
      <c r="K482" s="41">
        <f t="shared" ref="K482" si="510">ROUND(K481/(K$477+K$479+K$481+K$483),3)</f>
        <v>0.224</v>
      </c>
      <c r="L482" s="41">
        <f>ROUND(L481/(L$477+L$479+L$481+L$483),3)+0.001</f>
        <v>0.16400000000000001</v>
      </c>
      <c r="M482" s="41">
        <f t="shared" ref="M482" si="511">ROUND(M481/(M$477+M$479+M$481+M$483),3)</f>
        <v>0.16900000000000001</v>
      </c>
      <c r="N482" s="1"/>
      <c r="O482" s="1"/>
      <c r="P482" s="1"/>
      <c r="Q482" s="1"/>
      <c r="R482" s="1"/>
      <c r="S482" s="1"/>
      <c r="AF482" s="7"/>
      <c r="AN482" s="1"/>
    </row>
    <row r="483" spans="2:41" x14ac:dyDescent="0.15">
      <c r="D483" s="188" t="s">
        <v>109</v>
      </c>
      <c r="E483" s="189"/>
      <c r="F483" s="22">
        <f>G483+H483+I483</f>
        <v>36</v>
      </c>
      <c r="G483" s="23">
        <v>2</v>
      </c>
      <c r="H483" s="23">
        <v>10</v>
      </c>
      <c r="I483" s="24">
        <v>24</v>
      </c>
      <c r="J483" s="22">
        <f>K483+L483+M483</f>
        <v>35</v>
      </c>
      <c r="K483" s="23">
        <v>4</v>
      </c>
      <c r="L483" s="23">
        <v>9</v>
      </c>
      <c r="M483" s="23">
        <v>22</v>
      </c>
      <c r="N483" s="1"/>
      <c r="O483" s="1"/>
      <c r="P483" s="1"/>
      <c r="Q483" s="1"/>
      <c r="R483" s="1"/>
      <c r="S483" s="1"/>
      <c r="AF483" s="7"/>
      <c r="AN483" s="1"/>
    </row>
    <row r="484" spans="2:41" x14ac:dyDescent="0.15">
      <c r="D484" s="191"/>
      <c r="E484" s="192"/>
      <c r="F484" s="40">
        <f>ROUND(F483/(F$477+F$479+F$481+F$483),3)</f>
        <v>5.3999999999999999E-2</v>
      </c>
      <c r="G484" s="41">
        <f t="shared" ref="G484" si="512">ROUND(G483/(G$477+G$479+G$481+G$483),3)</f>
        <v>3.3000000000000002E-2</v>
      </c>
      <c r="H484" s="41">
        <f t="shared" ref="H484" si="513">ROUND(H483/(H$477+H$479+H$481+H$483),3)</f>
        <v>5.3999999999999999E-2</v>
      </c>
      <c r="I484" s="42">
        <f t="shared" ref="I484" si="514">ROUND(I483/(I$477+I$479+I$481+I$483),3)</f>
        <v>5.8000000000000003E-2</v>
      </c>
      <c r="J484" s="40">
        <f>ROUND(J483/(J$477+J$479+J$481+J$483),3)</f>
        <v>5.1999999999999998E-2</v>
      </c>
      <c r="K484" s="41">
        <f t="shared" ref="K484:M484" si="515">ROUND(K483/(K$477+K$479+K$481+K$483),3)</f>
        <v>5.2999999999999999E-2</v>
      </c>
      <c r="L484" s="41">
        <f t="shared" si="515"/>
        <v>4.2999999999999997E-2</v>
      </c>
      <c r="M484" s="41">
        <f t="shared" si="515"/>
        <v>5.6000000000000001E-2</v>
      </c>
      <c r="N484" s="1"/>
      <c r="O484" s="1"/>
      <c r="P484" s="1"/>
      <c r="Q484" s="1"/>
      <c r="R484" s="1"/>
      <c r="S484" s="1"/>
      <c r="AF484" s="7"/>
      <c r="AN484" s="1"/>
    </row>
    <row r="485" spans="2:41" x14ac:dyDescent="0.15">
      <c r="D485" s="187" t="s">
        <v>20</v>
      </c>
      <c r="E485" s="194"/>
      <c r="F485" s="22">
        <f>F477+F479+F481+F483</f>
        <v>662</v>
      </c>
      <c r="G485" s="23">
        <f t="shared" ref="G485:I485" si="516">G477+G479+G481+G483</f>
        <v>60</v>
      </c>
      <c r="H485" s="23">
        <f t="shared" si="516"/>
        <v>185</v>
      </c>
      <c r="I485" s="24">
        <f t="shared" si="516"/>
        <v>417</v>
      </c>
      <c r="J485" s="22">
        <f>J477+J479+J481+J483</f>
        <v>675</v>
      </c>
      <c r="K485" s="23">
        <f t="shared" ref="K485:M485" si="517">K477+K479+K481+K483</f>
        <v>76</v>
      </c>
      <c r="L485" s="23">
        <f t="shared" si="517"/>
        <v>208</v>
      </c>
      <c r="M485" s="23">
        <f t="shared" si="517"/>
        <v>391</v>
      </c>
      <c r="N485" s="1"/>
      <c r="O485" s="1"/>
      <c r="P485" s="1"/>
      <c r="Q485" s="1"/>
      <c r="R485" s="1"/>
      <c r="S485" s="1"/>
      <c r="AF485" s="7"/>
      <c r="AN485" s="1"/>
    </row>
    <row r="486" spans="2:41" ht="14.25" thickBot="1" x14ac:dyDescent="0.2">
      <c r="D486" s="187"/>
      <c r="E486" s="194"/>
      <c r="F486" s="133">
        <f>F478+F480+F482+F484</f>
        <v>0.99900000000000011</v>
      </c>
      <c r="G486" s="134">
        <f t="shared" ref="G486:I486" si="518">G478+G480+G482+G484</f>
        <v>1</v>
      </c>
      <c r="H486" s="134">
        <f t="shared" si="518"/>
        <v>1.0010000000000001</v>
      </c>
      <c r="I486" s="135">
        <f t="shared" si="518"/>
        <v>1.0010000000000001</v>
      </c>
      <c r="J486" s="137">
        <f>J478+J480+J482+J484</f>
        <v>1</v>
      </c>
      <c r="K486" s="136">
        <f t="shared" ref="K486:M486" si="519">K478+K480+K482+K484</f>
        <v>1</v>
      </c>
      <c r="L486" s="136">
        <f t="shared" si="519"/>
        <v>1</v>
      </c>
      <c r="M486" s="136">
        <f t="shared" si="519"/>
        <v>1</v>
      </c>
      <c r="N486" s="1"/>
      <c r="O486" s="1"/>
      <c r="P486" s="1"/>
      <c r="Q486" s="1"/>
      <c r="R486" s="1"/>
      <c r="S486" s="1"/>
      <c r="AF486" s="7"/>
      <c r="AN486" s="1"/>
    </row>
    <row r="487" spans="2:41" x14ac:dyDescent="0.15">
      <c r="D487" s="82"/>
      <c r="E487" s="129"/>
      <c r="F487" s="129"/>
      <c r="G487" s="57"/>
      <c r="H487" s="57"/>
      <c r="I487" s="57"/>
      <c r="J487" s="57"/>
      <c r="K487" s="57"/>
      <c r="L487" s="57"/>
      <c r="M487" s="57"/>
      <c r="N487" s="57"/>
      <c r="O487" s="69"/>
      <c r="P487" s="57"/>
      <c r="Q487" s="57"/>
      <c r="R487" s="57"/>
      <c r="S487" s="57"/>
      <c r="T487" s="50"/>
      <c r="U487" s="12"/>
      <c r="V487" s="50"/>
      <c r="W487" s="34"/>
      <c r="X487" s="2"/>
      <c r="AN487" s="1"/>
      <c r="AO487" s="7"/>
    </row>
    <row r="488" spans="2:41" x14ac:dyDescent="0.15">
      <c r="D488" s="82"/>
      <c r="E488" s="129"/>
      <c r="F488" s="129"/>
      <c r="G488" s="57"/>
      <c r="H488" s="57"/>
      <c r="I488" s="57"/>
      <c r="J488" s="57"/>
      <c r="K488" s="57"/>
      <c r="L488" s="57"/>
      <c r="M488" s="57"/>
      <c r="N488" s="57"/>
      <c r="O488" s="69"/>
      <c r="P488" s="57"/>
      <c r="Q488" s="57"/>
      <c r="R488" s="57"/>
      <c r="S488" s="57"/>
      <c r="T488" s="50"/>
      <c r="U488" s="12"/>
      <c r="V488" s="50"/>
      <c r="W488" s="34"/>
      <c r="X488" s="2"/>
      <c r="AN488" s="1"/>
      <c r="AO488" s="7"/>
    </row>
    <row r="489" spans="2:41" x14ac:dyDescent="0.15">
      <c r="D489" s="82"/>
      <c r="E489" s="129"/>
      <c r="F489" s="129"/>
      <c r="G489" s="57"/>
      <c r="H489" s="57"/>
      <c r="I489" s="57"/>
      <c r="J489" s="57"/>
      <c r="K489" s="57"/>
      <c r="L489" s="57"/>
      <c r="M489" s="57"/>
      <c r="N489" s="57"/>
      <c r="O489" s="69"/>
      <c r="P489" s="57"/>
      <c r="Q489" s="57"/>
      <c r="R489" s="57"/>
      <c r="S489" s="57"/>
      <c r="T489" s="50"/>
      <c r="U489" s="12"/>
      <c r="V489" s="50"/>
      <c r="W489" s="34"/>
      <c r="X489" s="2"/>
      <c r="AN489" s="1"/>
      <c r="AO489" s="7"/>
    </row>
    <row r="490" spans="2:41" ht="14.25" thickBot="1" x14ac:dyDescent="0.2">
      <c r="B490" s="3"/>
      <c r="C490" s="2" t="s">
        <v>135</v>
      </c>
      <c r="K490" s="5"/>
      <c r="O490" s="5"/>
    </row>
    <row r="491" spans="2:41" x14ac:dyDescent="0.15">
      <c r="D491" s="203"/>
      <c r="E491" s="197"/>
      <c r="F491" s="184" t="s">
        <v>265</v>
      </c>
      <c r="G491" s="185"/>
      <c r="H491" s="185"/>
      <c r="I491" s="186"/>
      <c r="J491" s="182" t="s">
        <v>60</v>
      </c>
      <c r="K491" s="187"/>
      <c r="L491" s="187"/>
      <c r="M491" s="187"/>
      <c r="N491" s="1"/>
      <c r="O491" s="1"/>
      <c r="P491" s="1"/>
      <c r="Q491" s="1"/>
      <c r="R491" s="1"/>
      <c r="S491" s="1"/>
      <c r="AF491" s="7"/>
      <c r="AN491" s="1"/>
    </row>
    <row r="492" spans="2:41" x14ac:dyDescent="0.15">
      <c r="D492" s="210"/>
      <c r="E492" s="211"/>
      <c r="F492" s="124"/>
      <c r="G492" s="128" t="s">
        <v>11</v>
      </c>
      <c r="H492" s="128" t="s">
        <v>12</v>
      </c>
      <c r="I492" s="39" t="s">
        <v>13</v>
      </c>
      <c r="J492" s="124"/>
      <c r="K492" s="128" t="s">
        <v>11</v>
      </c>
      <c r="L492" s="128" t="s">
        <v>12</v>
      </c>
      <c r="M492" s="128" t="s">
        <v>13</v>
      </c>
      <c r="N492" s="1"/>
      <c r="O492" s="1"/>
      <c r="P492" s="1"/>
      <c r="Q492" s="1"/>
      <c r="R492" s="1"/>
      <c r="S492" s="1"/>
      <c r="AF492" s="7"/>
      <c r="AN492" s="1"/>
    </row>
    <row r="493" spans="2:41" x14ac:dyDescent="0.15">
      <c r="D493" s="188" t="s">
        <v>106</v>
      </c>
      <c r="E493" s="189"/>
      <c r="F493" s="22">
        <f>G493+H493+I493</f>
        <v>173</v>
      </c>
      <c r="G493" s="23">
        <v>18</v>
      </c>
      <c r="H493" s="23">
        <v>47</v>
      </c>
      <c r="I493" s="24">
        <v>108</v>
      </c>
      <c r="J493" s="22">
        <f>K493+L493+M493</f>
        <v>120</v>
      </c>
      <c r="K493" s="23">
        <v>14</v>
      </c>
      <c r="L493" s="23">
        <v>36</v>
      </c>
      <c r="M493" s="23">
        <v>70</v>
      </c>
      <c r="N493" s="1"/>
      <c r="O493" s="1"/>
      <c r="P493" s="1"/>
      <c r="Q493" s="1"/>
      <c r="R493" s="1"/>
      <c r="S493" s="1"/>
      <c r="T493" s="1" t="s">
        <v>106</v>
      </c>
      <c r="U493" s="6">
        <v>173</v>
      </c>
      <c r="AF493" s="7"/>
      <c r="AN493" s="1"/>
    </row>
    <row r="494" spans="2:41" x14ac:dyDescent="0.15">
      <c r="D494" s="191"/>
      <c r="E494" s="192"/>
      <c r="F494" s="40">
        <f>ROUND(F493/(F$493+F$495+F$497+F$499),3)</f>
        <v>0.26</v>
      </c>
      <c r="G494" s="41">
        <f t="shared" ref="G494:I494" si="520">ROUND(G493/(G$493+G$495+G$497+G$499),3)</f>
        <v>0.3</v>
      </c>
      <c r="H494" s="41">
        <f t="shared" si="520"/>
        <v>0.253</v>
      </c>
      <c r="I494" s="42">
        <f t="shared" si="520"/>
        <v>0.25700000000000001</v>
      </c>
      <c r="J494" s="40">
        <f>ROUND(J493/(J$493+J$495+J$497+J$499),3)</f>
        <v>0.17100000000000001</v>
      </c>
      <c r="K494" s="41">
        <f t="shared" ref="K494:M494" si="521">ROUND(K493/(K$493+K$495+K$497+K$499),3)</f>
        <v>0.184</v>
      </c>
      <c r="L494" s="41">
        <f t="shared" si="521"/>
        <v>0.16800000000000001</v>
      </c>
      <c r="M494" s="41">
        <f t="shared" si="521"/>
        <v>0.17100000000000001</v>
      </c>
      <c r="N494" s="1"/>
      <c r="O494" s="1"/>
      <c r="P494" s="1"/>
      <c r="Q494" s="1"/>
      <c r="R494" s="1"/>
      <c r="S494" s="1"/>
      <c r="T494" s="1" t="s">
        <v>107</v>
      </c>
      <c r="U494" s="6">
        <v>342</v>
      </c>
      <c r="AF494" s="7"/>
      <c r="AN494" s="1"/>
    </row>
    <row r="495" spans="2:41" x14ac:dyDescent="0.15">
      <c r="D495" s="209" t="s">
        <v>107</v>
      </c>
      <c r="E495" s="189"/>
      <c r="F495" s="22">
        <f>G495+H495+I495</f>
        <v>342</v>
      </c>
      <c r="G495" s="23">
        <v>33</v>
      </c>
      <c r="H495" s="23">
        <v>97</v>
      </c>
      <c r="I495" s="24">
        <v>212</v>
      </c>
      <c r="J495" s="22">
        <f>K495+L495+M495</f>
        <v>417</v>
      </c>
      <c r="K495" s="23">
        <v>42</v>
      </c>
      <c r="L495" s="23">
        <v>127</v>
      </c>
      <c r="M495" s="23">
        <v>248</v>
      </c>
      <c r="N495" s="1"/>
      <c r="O495" s="1"/>
      <c r="P495" s="1"/>
      <c r="Q495" s="1"/>
      <c r="R495" s="1"/>
      <c r="S495" s="1"/>
      <c r="T495" s="1" t="s">
        <v>108</v>
      </c>
      <c r="U495" s="6">
        <v>124</v>
      </c>
      <c r="AF495" s="7"/>
      <c r="AN495" s="1"/>
    </row>
    <row r="496" spans="2:41" x14ac:dyDescent="0.15">
      <c r="D496" s="191"/>
      <c r="E496" s="192"/>
      <c r="F496" s="40">
        <f>ROUND(F495/(F$493+F$495+F$497+F$499),3)</f>
        <v>0.51400000000000001</v>
      </c>
      <c r="G496" s="41">
        <f t="shared" ref="G496" si="522">ROUND(G495/(G$493+G$495+G$497+G$499),3)</f>
        <v>0.55000000000000004</v>
      </c>
      <c r="H496" s="41">
        <f>ROUND(H495/(H$493+H$495+H$497+H$499),3)</f>
        <v>0.52200000000000002</v>
      </c>
      <c r="I496" s="42">
        <f t="shared" ref="I496" si="523">ROUND(I495/(I$493+I$495+I$497+I$499),3)</f>
        <v>0.505</v>
      </c>
      <c r="J496" s="40">
        <f>ROUND(J495/(J$493+J$495+J$497+J$499),3)</f>
        <v>0.59599999999999997</v>
      </c>
      <c r="K496" s="41">
        <f t="shared" ref="K496" si="524">ROUND(K495/(K$493+K$495+K$497+K$499),3)</f>
        <v>0.55300000000000005</v>
      </c>
      <c r="L496" s="41">
        <f>ROUND(L495/(L$493+L$495+L$497+L$499),3)+0.001</f>
        <v>0.59399999999999997</v>
      </c>
      <c r="M496" s="41">
        <f t="shared" ref="M496" si="525">ROUND(M495/(M$493+M$495+M$497+M$499),3)</f>
        <v>0.60499999999999998</v>
      </c>
      <c r="N496" s="1"/>
      <c r="O496" s="1"/>
      <c r="P496" s="1"/>
      <c r="Q496" s="1"/>
      <c r="R496" s="1"/>
      <c r="S496" s="1"/>
      <c r="T496" s="1" t="s">
        <v>109</v>
      </c>
      <c r="U496" s="6">
        <v>27</v>
      </c>
      <c r="AF496" s="7"/>
      <c r="AN496" s="1"/>
    </row>
    <row r="497" spans="2:41" x14ac:dyDescent="0.15">
      <c r="D497" s="209" t="s">
        <v>108</v>
      </c>
      <c r="E497" s="189"/>
      <c r="F497" s="22">
        <f>G497+H497+I497</f>
        <v>124</v>
      </c>
      <c r="G497" s="23">
        <v>8</v>
      </c>
      <c r="H497" s="23">
        <v>34</v>
      </c>
      <c r="I497" s="24">
        <v>82</v>
      </c>
      <c r="J497" s="22">
        <f>K497+L497+M497</f>
        <v>137</v>
      </c>
      <c r="K497" s="23">
        <v>17</v>
      </c>
      <c r="L497" s="23">
        <v>46</v>
      </c>
      <c r="M497" s="23">
        <v>74</v>
      </c>
      <c r="N497" s="1"/>
      <c r="O497" s="1"/>
      <c r="P497" s="1"/>
      <c r="Q497" s="1"/>
      <c r="R497" s="1"/>
      <c r="S497" s="1"/>
      <c r="AF497" s="7"/>
      <c r="AN497" s="1"/>
    </row>
    <row r="498" spans="2:41" x14ac:dyDescent="0.15">
      <c r="D498" s="191"/>
      <c r="E498" s="192"/>
      <c r="F498" s="40">
        <f>ROUND(F497/(F$493+F$495+F$497+F$499),3)</f>
        <v>0.186</v>
      </c>
      <c r="G498" s="41">
        <f t="shared" ref="G498" si="526">ROUND(G497/(G$493+G$495+G$497+G$499),3)</f>
        <v>0.13300000000000001</v>
      </c>
      <c r="H498" s="41">
        <f t="shared" ref="H498" si="527">ROUND(H497/(H$493+H$495+H$497+H$499),3)</f>
        <v>0.183</v>
      </c>
      <c r="I498" s="42">
        <f t="shared" ref="I498" si="528">ROUND(I497/(I$493+I$495+I$497+I$499),3)</f>
        <v>0.19500000000000001</v>
      </c>
      <c r="J498" s="40">
        <f>ROUND(J497/(J$493+J$495+J$497+J$499),3)</f>
        <v>0.19600000000000001</v>
      </c>
      <c r="K498" s="41">
        <f t="shared" ref="K498:M498" si="529">ROUND(K497/(K$493+K$495+K$497+K$499),3)</f>
        <v>0.224</v>
      </c>
      <c r="L498" s="41">
        <f t="shared" si="529"/>
        <v>0.215</v>
      </c>
      <c r="M498" s="41">
        <f t="shared" si="529"/>
        <v>0.18</v>
      </c>
      <c r="N498" s="1"/>
      <c r="O498" s="1"/>
      <c r="P498" s="1"/>
      <c r="Q498" s="1"/>
      <c r="R498" s="1"/>
      <c r="S498" s="1"/>
      <c r="AF498" s="7"/>
      <c r="AN498" s="1"/>
    </row>
    <row r="499" spans="2:41" x14ac:dyDescent="0.15">
      <c r="D499" s="188" t="s">
        <v>109</v>
      </c>
      <c r="E499" s="189"/>
      <c r="F499" s="22">
        <f>G499+H499+I499</f>
        <v>27</v>
      </c>
      <c r="G499" s="23">
        <v>1</v>
      </c>
      <c r="H499" s="23">
        <v>8</v>
      </c>
      <c r="I499" s="24">
        <v>18</v>
      </c>
      <c r="J499" s="22">
        <f>K499+L499+M499</f>
        <v>26</v>
      </c>
      <c r="K499" s="23">
        <v>3</v>
      </c>
      <c r="L499" s="23">
        <v>5</v>
      </c>
      <c r="M499" s="23">
        <v>18</v>
      </c>
      <c r="N499" s="1"/>
      <c r="O499" s="1"/>
      <c r="P499" s="1"/>
      <c r="Q499" s="1"/>
      <c r="R499" s="1"/>
      <c r="S499" s="1"/>
      <c r="AF499" s="7"/>
      <c r="AN499" s="1"/>
    </row>
    <row r="500" spans="2:41" x14ac:dyDescent="0.15">
      <c r="D500" s="191"/>
      <c r="E500" s="192"/>
      <c r="F500" s="40">
        <f>ROUND(F499/(F$493+F$495+F$497+F$499),3)</f>
        <v>4.1000000000000002E-2</v>
      </c>
      <c r="G500" s="41">
        <f t="shared" ref="G500" si="530">ROUND(G499/(G$493+G$495+G$497+G$499),3)</f>
        <v>1.7000000000000001E-2</v>
      </c>
      <c r="H500" s="41">
        <f t="shared" ref="H500" si="531">ROUND(H499/(H$493+H$495+H$497+H$499),3)</f>
        <v>4.2999999999999997E-2</v>
      </c>
      <c r="I500" s="42">
        <f t="shared" ref="I500" si="532">ROUND(I499/(I$493+I$495+I$497+I$499),3)</f>
        <v>4.2999999999999997E-2</v>
      </c>
      <c r="J500" s="40">
        <f>ROUND(J499/(J$493+J$495+J$497+J$499),3)</f>
        <v>3.6999999999999998E-2</v>
      </c>
      <c r="K500" s="41">
        <f t="shared" ref="K500:M500" si="533">ROUND(K499/(K$493+K$495+K$497+K$499),3)</f>
        <v>3.9E-2</v>
      </c>
      <c r="L500" s="41">
        <f t="shared" si="533"/>
        <v>2.3E-2</v>
      </c>
      <c r="M500" s="41">
        <f t="shared" si="533"/>
        <v>4.3999999999999997E-2</v>
      </c>
      <c r="N500" s="1"/>
      <c r="O500" s="1"/>
      <c r="P500" s="1"/>
      <c r="Q500" s="1"/>
      <c r="R500" s="1"/>
      <c r="S500" s="1"/>
      <c r="AF500" s="7"/>
      <c r="AN500" s="1"/>
    </row>
    <row r="501" spans="2:41" x14ac:dyDescent="0.15">
      <c r="D501" s="187" t="s">
        <v>20</v>
      </c>
      <c r="E501" s="194"/>
      <c r="F501" s="22">
        <f>F493+F495+F497+F499</f>
        <v>666</v>
      </c>
      <c r="G501" s="23">
        <f t="shared" ref="G501:I501" si="534">G493+G495+G497+G499</f>
        <v>60</v>
      </c>
      <c r="H501" s="23">
        <f t="shared" si="534"/>
        <v>186</v>
      </c>
      <c r="I501" s="24">
        <f t="shared" si="534"/>
        <v>420</v>
      </c>
      <c r="J501" s="22">
        <f>J493+J495+J497+J499</f>
        <v>700</v>
      </c>
      <c r="K501" s="23">
        <f t="shared" ref="K501:M501" si="535">K493+K495+K497+K499</f>
        <v>76</v>
      </c>
      <c r="L501" s="23">
        <f t="shared" si="535"/>
        <v>214</v>
      </c>
      <c r="M501" s="23">
        <f t="shared" si="535"/>
        <v>410</v>
      </c>
      <c r="N501" s="1"/>
      <c r="O501" s="1"/>
      <c r="P501" s="1"/>
      <c r="Q501" s="1"/>
      <c r="R501" s="1"/>
      <c r="S501" s="1"/>
      <c r="AF501" s="7"/>
      <c r="AN501" s="1"/>
    </row>
    <row r="502" spans="2:41" ht="14.25" thickBot="1" x14ac:dyDescent="0.2">
      <c r="D502" s="187"/>
      <c r="E502" s="194"/>
      <c r="F502" s="133">
        <f>F494+F496+F498+F500</f>
        <v>1.0009999999999999</v>
      </c>
      <c r="G502" s="134">
        <f t="shared" ref="G502:I502" si="536">G494+G496+G498+G500</f>
        <v>1</v>
      </c>
      <c r="H502" s="134">
        <f t="shared" si="536"/>
        <v>1.0009999999999999</v>
      </c>
      <c r="I502" s="135">
        <f t="shared" si="536"/>
        <v>1</v>
      </c>
      <c r="J502" s="137">
        <f>J494+J496+J498+J500</f>
        <v>1</v>
      </c>
      <c r="K502" s="136">
        <f t="shared" ref="K502:M502" si="537">K494+K496+K498+K500</f>
        <v>1</v>
      </c>
      <c r="L502" s="136">
        <f t="shared" si="537"/>
        <v>1</v>
      </c>
      <c r="M502" s="136">
        <f t="shared" si="537"/>
        <v>1</v>
      </c>
      <c r="N502" s="1"/>
      <c r="O502" s="1"/>
      <c r="P502" s="1"/>
      <c r="Q502" s="1"/>
      <c r="R502" s="1"/>
      <c r="S502" s="1"/>
      <c r="AF502" s="7"/>
      <c r="AN502" s="1"/>
    </row>
    <row r="503" spans="2:41" x14ac:dyDescent="0.15">
      <c r="D503" s="82"/>
      <c r="E503" s="129"/>
      <c r="F503" s="129"/>
      <c r="G503" s="57"/>
      <c r="H503" s="57"/>
      <c r="I503" s="57"/>
      <c r="J503" s="57"/>
      <c r="K503" s="57"/>
      <c r="L503" s="57"/>
      <c r="M503" s="57"/>
      <c r="N503" s="57"/>
      <c r="O503" s="69"/>
      <c r="P503" s="57"/>
      <c r="Q503" s="57"/>
      <c r="R503" s="57"/>
      <c r="S503" s="57"/>
      <c r="T503" s="50"/>
      <c r="U503" s="12"/>
      <c r="V503" s="50"/>
      <c r="W503" s="34"/>
      <c r="X503" s="2"/>
      <c r="AN503" s="1"/>
      <c r="AO503" s="7"/>
    </row>
    <row r="504" spans="2:41" x14ac:dyDescent="0.15">
      <c r="D504" s="82"/>
      <c r="E504" s="129"/>
      <c r="F504" s="129"/>
      <c r="G504" s="57"/>
      <c r="H504" s="57"/>
      <c r="I504" s="57"/>
      <c r="J504" s="57"/>
      <c r="K504" s="57"/>
      <c r="L504" s="57"/>
      <c r="M504" s="57"/>
      <c r="N504" s="57"/>
      <c r="O504" s="69"/>
      <c r="P504" s="57"/>
      <c r="Q504" s="57"/>
      <c r="R504" s="57"/>
      <c r="S504" s="57"/>
      <c r="T504" s="50"/>
      <c r="U504" s="12"/>
      <c r="V504" s="50"/>
      <c r="W504" s="34"/>
      <c r="X504" s="2"/>
      <c r="AN504" s="1"/>
      <c r="AO504" s="7"/>
    </row>
    <row r="505" spans="2:41" x14ac:dyDescent="0.15">
      <c r="D505" s="82"/>
      <c r="E505" s="129"/>
      <c r="F505" s="129"/>
      <c r="G505" s="57"/>
      <c r="H505" s="57"/>
      <c r="I505" s="57"/>
      <c r="J505" s="57"/>
      <c r="K505" s="57"/>
      <c r="L505" s="57"/>
      <c r="M505" s="57"/>
      <c r="N505" s="57"/>
      <c r="O505" s="69"/>
      <c r="P505" s="57"/>
      <c r="Q505" s="57"/>
      <c r="R505" s="57"/>
      <c r="S505" s="57"/>
      <c r="T505" s="50"/>
      <c r="U505" s="12"/>
      <c r="V505" s="50"/>
      <c r="W505" s="34"/>
      <c r="X505" s="2"/>
      <c r="AN505" s="1"/>
      <c r="AO505" s="7"/>
    </row>
    <row r="506" spans="2:41" ht="14.25" thickBot="1" x14ac:dyDescent="0.2">
      <c r="B506" s="3"/>
      <c r="C506" s="2" t="s">
        <v>136</v>
      </c>
      <c r="K506" s="5"/>
      <c r="O506" s="5"/>
    </row>
    <row r="507" spans="2:41" x14ac:dyDescent="0.15">
      <c r="D507" s="203"/>
      <c r="E507" s="197"/>
      <c r="F507" s="184" t="s">
        <v>265</v>
      </c>
      <c r="G507" s="185"/>
      <c r="H507" s="185"/>
      <c r="I507" s="186"/>
      <c r="J507" s="182" t="s">
        <v>60</v>
      </c>
      <c r="K507" s="187"/>
      <c r="L507" s="187"/>
      <c r="M507" s="187"/>
      <c r="N507" s="1"/>
      <c r="O507" s="1"/>
      <c r="P507" s="1"/>
      <c r="Q507" s="1"/>
      <c r="R507" s="1"/>
      <c r="S507" s="1"/>
      <c r="AF507" s="7"/>
      <c r="AN507" s="1"/>
    </row>
    <row r="508" spans="2:41" x14ac:dyDescent="0.15">
      <c r="D508" s="210"/>
      <c r="E508" s="211"/>
      <c r="F508" s="124"/>
      <c r="G508" s="128" t="s">
        <v>11</v>
      </c>
      <c r="H508" s="128" t="s">
        <v>12</v>
      </c>
      <c r="I508" s="39" t="s">
        <v>13</v>
      </c>
      <c r="J508" s="124"/>
      <c r="K508" s="128" t="s">
        <v>11</v>
      </c>
      <c r="L508" s="128" t="s">
        <v>12</v>
      </c>
      <c r="M508" s="128" t="s">
        <v>13</v>
      </c>
      <c r="N508" s="1"/>
      <c r="O508" s="1"/>
      <c r="P508" s="1"/>
      <c r="Q508" s="1"/>
      <c r="R508" s="1"/>
      <c r="S508" s="1"/>
      <c r="AF508" s="7"/>
      <c r="AN508" s="1"/>
    </row>
    <row r="509" spans="2:41" x14ac:dyDescent="0.15">
      <c r="D509" s="188" t="s">
        <v>106</v>
      </c>
      <c r="E509" s="189"/>
      <c r="F509" s="22">
        <f>G509+H509+I509</f>
        <v>176</v>
      </c>
      <c r="G509" s="23">
        <v>16</v>
      </c>
      <c r="H509" s="23">
        <v>53</v>
      </c>
      <c r="I509" s="24">
        <v>107</v>
      </c>
      <c r="J509" s="22">
        <f>K509+L509+M509</f>
        <v>130</v>
      </c>
      <c r="K509" s="23">
        <v>11</v>
      </c>
      <c r="L509" s="23">
        <v>41</v>
      </c>
      <c r="M509" s="23">
        <v>78</v>
      </c>
      <c r="N509" s="1"/>
      <c r="O509" s="1"/>
      <c r="P509" s="1"/>
      <c r="Q509" s="1"/>
      <c r="R509" s="1"/>
      <c r="S509" s="1"/>
      <c r="T509" s="1" t="s">
        <v>106</v>
      </c>
      <c r="U509" s="6">
        <v>176</v>
      </c>
      <c r="AF509" s="7"/>
      <c r="AN509" s="1"/>
    </row>
    <row r="510" spans="2:41" x14ac:dyDescent="0.15">
      <c r="D510" s="191"/>
      <c r="E510" s="192"/>
      <c r="F510" s="40">
        <f>ROUND(F509/(F$509+F$511+F$513+F$515),3)</f>
        <v>0.26700000000000002</v>
      </c>
      <c r="G510" s="41">
        <f t="shared" ref="G510:I510" si="538">ROUND(G509/(G$509+G$511+G$513+G$515),3)</f>
        <v>0.26700000000000002</v>
      </c>
      <c r="H510" s="41">
        <f t="shared" si="538"/>
        <v>0.28799999999999998</v>
      </c>
      <c r="I510" s="42">
        <f t="shared" si="538"/>
        <v>0.25800000000000001</v>
      </c>
      <c r="J510" s="40">
        <f>ROUND(J509/(J$509+J$511+J$513+J$515),3)</f>
        <v>0.188</v>
      </c>
      <c r="K510" s="41">
        <f t="shared" ref="K510:M510" si="539">ROUND(K509/(K$509+K$511+K$513+K$515),3)</f>
        <v>0.14499999999999999</v>
      </c>
      <c r="L510" s="41">
        <f t="shared" si="539"/>
        <v>0.19700000000000001</v>
      </c>
      <c r="M510" s="41">
        <f t="shared" si="539"/>
        <v>0.192</v>
      </c>
      <c r="N510" s="1"/>
      <c r="O510" s="1"/>
      <c r="P510" s="1"/>
      <c r="Q510" s="1"/>
      <c r="R510" s="1"/>
      <c r="S510" s="1"/>
      <c r="T510" s="1" t="s">
        <v>107</v>
      </c>
      <c r="U510" s="6">
        <v>293</v>
      </c>
      <c r="AF510" s="7"/>
      <c r="AN510" s="1"/>
    </row>
    <row r="511" spans="2:41" x14ac:dyDescent="0.15">
      <c r="D511" s="209" t="s">
        <v>107</v>
      </c>
      <c r="E511" s="189"/>
      <c r="F511" s="22">
        <f>G511+H511+I511</f>
        <v>293</v>
      </c>
      <c r="G511" s="23">
        <v>22</v>
      </c>
      <c r="H511" s="23">
        <v>78</v>
      </c>
      <c r="I511" s="24">
        <v>193</v>
      </c>
      <c r="J511" s="22">
        <f>K511+L511+M511</f>
        <v>342</v>
      </c>
      <c r="K511" s="23">
        <v>34</v>
      </c>
      <c r="L511" s="23">
        <v>99</v>
      </c>
      <c r="M511" s="23">
        <v>209</v>
      </c>
      <c r="N511" s="1"/>
      <c r="O511" s="1"/>
      <c r="P511" s="1"/>
      <c r="Q511" s="1"/>
      <c r="R511" s="1"/>
      <c r="S511" s="1"/>
      <c r="T511" s="1" t="s">
        <v>108</v>
      </c>
      <c r="U511" s="6">
        <v>137</v>
      </c>
      <c r="AF511" s="7"/>
      <c r="AN511" s="1"/>
    </row>
    <row r="512" spans="2:41" x14ac:dyDescent="0.15">
      <c r="D512" s="191"/>
      <c r="E512" s="192"/>
      <c r="F512" s="40">
        <f>ROUND(F511/(F$509+F$511+F$513+F$515),3)</f>
        <v>0.44500000000000001</v>
      </c>
      <c r="G512" s="41">
        <f t="shared" ref="G512" si="540">ROUND(G511/(G$509+G$511+G$513+G$515),3)</f>
        <v>0.36699999999999999</v>
      </c>
      <c r="H512" s="41">
        <f t="shared" ref="H512" si="541">ROUND(H511/(H$509+H$511+H$513+H$515),3)</f>
        <v>0.42399999999999999</v>
      </c>
      <c r="I512" s="42">
        <f>ROUND(I511/(I$509+I$511+I$513+I$515),3)</f>
        <v>0.46500000000000002</v>
      </c>
      <c r="J512" s="40">
        <f>ROUND(J511/(J$509+J$511+J$513+J$515),3)</f>
        <v>0.495</v>
      </c>
      <c r="K512" s="41">
        <f t="shared" ref="K512:L512" si="542">ROUND(K511/(K$509+K$511+K$513+K$515),3)</f>
        <v>0.44700000000000001</v>
      </c>
      <c r="L512" s="41">
        <f t="shared" si="542"/>
        <v>0.47599999999999998</v>
      </c>
      <c r="M512" s="41">
        <f>ROUND(M511/(M$509+M$511+M$513+M$515),3)-0.001</f>
        <v>0.51300000000000001</v>
      </c>
      <c r="N512" s="1"/>
      <c r="O512" s="1"/>
      <c r="P512" s="1"/>
      <c r="Q512" s="1"/>
      <c r="R512" s="1"/>
      <c r="S512" s="1"/>
      <c r="T512" s="1" t="s">
        <v>109</v>
      </c>
      <c r="U512" s="6">
        <v>53</v>
      </c>
      <c r="AF512" s="7"/>
      <c r="AN512" s="1"/>
    </row>
    <row r="513" spans="2:41" x14ac:dyDescent="0.15">
      <c r="D513" s="209" t="s">
        <v>108</v>
      </c>
      <c r="E513" s="189"/>
      <c r="F513" s="22">
        <f>G513+H513+I513</f>
        <v>137</v>
      </c>
      <c r="G513" s="23">
        <v>15</v>
      </c>
      <c r="H513" s="23">
        <v>35</v>
      </c>
      <c r="I513" s="24">
        <v>87</v>
      </c>
      <c r="J513" s="22">
        <f>K513+L513+M513</f>
        <v>164</v>
      </c>
      <c r="K513" s="23">
        <v>24</v>
      </c>
      <c r="L513" s="23">
        <v>48</v>
      </c>
      <c r="M513" s="23">
        <v>92</v>
      </c>
      <c r="N513" s="1"/>
      <c r="O513" s="1"/>
      <c r="P513" s="1"/>
      <c r="Q513" s="1"/>
      <c r="R513" s="1"/>
      <c r="S513" s="1"/>
      <c r="AF513" s="7"/>
      <c r="AN513" s="1"/>
    </row>
    <row r="514" spans="2:41" x14ac:dyDescent="0.15">
      <c r="D514" s="191"/>
      <c r="E514" s="192"/>
      <c r="F514" s="40">
        <f>ROUND(F513/(F$509+F$511+F$513+F$515),3)</f>
        <v>0.20799999999999999</v>
      </c>
      <c r="G514" s="41">
        <f t="shared" ref="G514" si="543">ROUND(G513/(G$509+G$511+G$513+G$515),3)</f>
        <v>0.25</v>
      </c>
      <c r="H514" s="41">
        <f t="shared" ref="H514" si="544">ROUND(H513/(H$509+H$511+H$513+H$515),3)</f>
        <v>0.19</v>
      </c>
      <c r="I514" s="42">
        <f t="shared" ref="I514" si="545">ROUND(I513/(I$509+I$511+I$513+I$515),3)</f>
        <v>0.21</v>
      </c>
      <c r="J514" s="40">
        <f>ROUND(J513/(J$509+J$511+J$513+J$515),3)</f>
        <v>0.23699999999999999</v>
      </c>
      <c r="K514" s="41">
        <f t="shared" ref="K514:M514" si="546">ROUND(K513/(K$509+K$511+K$513+K$515),3)</f>
        <v>0.316</v>
      </c>
      <c r="L514" s="41">
        <f t="shared" si="546"/>
        <v>0.23100000000000001</v>
      </c>
      <c r="M514" s="41">
        <f t="shared" si="546"/>
        <v>0.22600000000000001</v>
      </c>
      <c r="N514" s="1"/>
      <c r="O514" s="1"/>
      <c r="P514" s="1"/>
      <c r="Q514" s="1"/>
      <c r="R514" s="1"/>
      <c r="S514" s="1"/>
      <c r="AF514" s="7"/>
      <c r="AN514" s="1"/>
    </row>
    <row r="515" spans="2:41" x14ac:dyDescent="0.15">
      <c r="D515" s="188" t="s">
        <v>109</v>
      </c>
      <c r="E515" s="189"/>
      <c r="F515" s="22">
        <f>G515+H515+I515</f>
        <v>53</v>
      </c>
      <c r="G515" s="23">
        <v>7</v>
      </c>
      <c r="H515" s="23">
        <v>18</v>
      </c>
      <c r="I515" s="24">
        <v>28</v>
      </c>
      <c r="J515" s="22">
        <f>K515+L515+M515</f>
        <v>55</v>
      </c>
      <c r="K515" s="23">
        <v>7</v>
      </c>
      <c r="L515" s="23">
        <v>20</v>
      </c>
      <c r="M515" s="23">
        <v>28</v>
      </c>
      <c r="N515" s="1"/>
      <c r="O515" s="1"/>
      <c r="P515" s="1"/>
      <c r="Q515" s="1"/>
      <c r="R515" s="1"/>
      <c r="S515" s="1"/>
      <c r="AF515" s="7"/>
      <c r="AN515" s="1"/>
    </row>
    <row r="516" spans="2:41" x14ac:dyDescent="0.15">
      <c r="D516" s="191"/>
      <c r="E516" s="192"/>
      <c r="F516" s="40">
        <f>ROUND(F515/(F$509+F$511+F$513+F$515),3)</f>
        <v>0.08</v>
      </c>
      <c r="G516" s="41">
        <f t="shared" ref="G516" si="547">ROUND(G515/(G$509+G$511+G$513+G$515),3)</f>
        <v>0.11700000000000001</v>
      </c>
      <c r="H516" s="41">
        <f t="shared" ref="H516" si="548">ROUND(H515/(H$509+H$511+H$513+H$515),3)</f>
        <v>9.8000000000000004E-2</v>
      </c>
      <c r="I516" s="42">
        <f t="shared" ref="I516" si="549">ROUND(I515/(I$509+I$511+I$513+I$515),3)</f>
        <v>6.7000000000000004E-2</v>
      </c>
      <c r="J516" s="40">
        <f>ROUND(J515/(J$509+J$511+J$513+J$515),3)</f>
        <v>0.08</v>
      </c>
      <c r="K516" s="41">
        <f t="shared" ref="K516:M516" si="550">ROUND(K515/(K$509+K$511+K$513+K$515),3)</f>
        <v>9.1999999999999998E-2</v>
      </c>
      <c r="L516" s="41">
        <f t="shared" si="550"/>
        <v>9.6000000000000002E-2</v>
      </c>
      <c r="M516" s="41">
        <f t="shared" si="550"/>
        <v>6.9000000000000006E-2</v>
      </c>
      <c r="N516" s="1"/>
      <c r="O516" s="1"/>
      <c r="P516" s="1"/>
      <c r="Q516" s="1"/>
      <c r="R516" s="1"/>
      <c r="S516" s="1"/>
      <c r="AF516" s="7"/>
      <c r="AN516" s="1"/>
    </row>
    <row r="517" spans="2:41" x14ac:dyDescent="0.15">
      <c r="D517" s="187" t="s">
        <v>20</v>
      </c>
      <c r="E517" s="194"/>
      <c r="F517" s="22">
        <f>F509+F511+F513+F515</f>
        <v>659</v>
      </c>
      <c r="G517" s="23">
        <f t="shared" ref="G517:I517" si="551">G509+G511+G513+G515</f>
        <v>60</v>
      </c>
      <c r="H517" s="23">
        <f t="shared" si="551"/>
        <v>184</v>
      </c>
      <c r="I517" s="24">
        <f t="shared" si="551"/>
        <v>415</v>
      </c>
      <c r="J517" s="22">
        <f>J509+J511+J513+J515</f>
        <v>691</v>
      </c>
      <c r="K517" s="23">
        <f t="shared" ref="K517:M517" si="552">K509+K511+K513+K515</f>
        <v>76</v>
      </c>
      <c r="L517" s="23">
        <f t="shared" si="552"/>
        <v>208</v>
      </c>
      <c r="M517" s="23">
        <f t="shared" si="552"/>
        <v>407</v>
      </c>
      <c r="N517" s="1"/>
      <c r="O517" s="1"/>
      <c r="P517" s="1"/>
      <c r="Q517" s="1"/>
      <c r="R517" s="1"/>
      <c r="S517" s="1"/>
      <c r="AF517" s="7"/>
      <c r="AN517" s="1"/>
    </row>
    <row r="518" spans="2:41" ht="14.25" thickBot="1" x14ac:dyDescent="0.2">
      <c r="D518" s="187"/>
      <c r="E518" s="194"/>
      <c r="F518" s="133">
        <f>F510+F512+F514+F516</f>
        <v>0.99999999999999989</v>
      </c>
      <c r="G518" s="134">
        <f t="shared" ref="G518:I518" si="553">G510+G512+G514+G516</f>
        <v>1.0010000000000001</v>
      </c>
      <c r="H518" s="134">
        <f t="shared" si="553"/>
        <v>0.99999999999999989</v>
      </c>
      <c r="I518" s="135">
        <f t="shared" si="553"/>
        <v>1</v>
      </c>
      <c r="J518" s="137">
        <f>J510+J512+J514+J516</f>
        <v>1</v>
      </c>
      <c r="K518" s="136">
        <f t="shared" ref="K518:M518" si="554">K510+K512+K514+K516</f>
        <v>0.99999999999999989</v>
      </c>
      <c r="L518" s="136">
        <f t="shared" si="554"/>
        <v>1</v>
      </c>
      <c r="M518" s="136">
        <f t="shared" si="554"/>
        <v>1</v>
      </c>
      <c r="N518" s="1"/>
      <c r="O518" s="1"/>
      <c r="P518" s="1"/>
      <c r="Q518" s="1"/>
      <c r="R518" s="1"/>
      <c r="S518" s="1"/>
      <c r="AF518" s="7"/>
      <c r="AN518" s="1"/>
    </row>
    <row r="519" spans="2:41" x14ac:dyDescent="0.15">
      <c r="D519" s="82"/>
      <c r="E519" s="129"/>
      <c r="F519" s="129"/>
      <c r="G519" s="57"/>
      <c r="H519" s="57"/>
      <c r="I519" s="57"/>
      <c r="J519" s="57"/>
      <c r="K519" s="57"/>
      <c r="L519" s="57"/>
      <c r="M519" s="57"/>
      <c r="N519" s="57"/>
      <c r="O519" s="69"/>
      <c r="P519" s="57"/>
      <c r="Q519" s="57"/>
      <c r="R519" s="57"/>
      <c r="S519" s="57"/>
      <c r="T519" s="50"/>
      <c r="U519" s="12"/>
      <c r="V519" s="50"/>
      <c r="W519" s="34"/>
      <c r="X519" s="2"/>
      <c r="AN519" s="1"/>
      <c r="AO519" s="7"/>
    </row>
    <row r="520" spans="2:41" x14ac:dyDescent="0.15">
      <c r="D520" s="82"/>
      <c r="E520" s="129"/>
      <c r="F520" s="129"/>
      <c r="G520" s="57"/>
      <c r="H520" s="57"/>
      <c r="I520" s="57"/>
      <c r="J520" s="57"/>
      <c r="K520" s="57"/>
      <c r="L520" s="57"/>
      <c r="M520" s="57"/>
      <c r="N520" s="57"/>
      <c r="O520" s="69"/>
      <c r="P520" s="57"/>
      <c r="Q520" s="57"/>
      <c r="R520" s="57"/>
      <c r="S520" s="57"/>
      <c r="T520" s="50"/>
      <c r="U520" s="12"/>
      <c r="V520" s="50"/>
      <c r="W520" s="34"/>
      <c r="X520" s="2"/>
      <c r="AN520" s="1"/>
      <c r="AO520" s="7"/>
    </row>
    <row r="521" spans="2:41" x14ac:dyDescent="0.15">
      <c r="D521" s="82"/>
      <c r="E521" s="129"/>
      <c r="F521" s="129"/>
      <c r="G521" s="57"/>
      <c r="H521" s="57"/>
      <c r="I521" s="57"/>
      <c r="J521" s="57"/>
      <c r="K521" s="57"/>
      <c r="L521" s="57"/>
      <c r="M521" s="57"/>
      <c r="N521" s="57"/>
      <c r="O521" s="69"/>
      <c r="P521" s="57"/>
      <c r="Q521" s="57"/>
      <c r="R521" s="57"/>
      <c r="S521" s="57"/>
      <c r="T521" s="50"/>
      <c r="U521" s="12"/>
      <c r="V521" s="50"/>
      <c r="W521" s="34"/>
      <c r="X521" s="2"/>
      <c r="AN521" s="1"/>
      <c r="AO521" s="7"/>
    </row>
    <row r="522" spans="2:41" ht="14.25" thickBot="1" x14ac:dyDescent="0.2">
      <c r="B522" s="3"/>
      <c r="C522" s="2" t="s">
        <v>137</v>
      </c>
      <c r="K522" s="5"/>
      <c r="O522" s="5"/>
    </row>
    <row r="523" spans="2:41" x14ac:dyDescent="0.15">
      <c r="D523" s="203"/>
      <c r="E523" s="197"/>
      <c r="F523" s="184" t="s">
        <v>265</v>
      </c>
      <c r="G523" s="185"/>
      <c r="H523" s="185"/>
      <c r="I523" s="186"/>
      <c r="J523" s="182" t="s">
        <v>60</v>
      </c>
      <c r="K523" s="187"/>
      <c r="L523" s="187"/>
      <c r="M523" s="187"/>
      <c r="N523" s="1"/>
      <c r="O523" s="1"/>
      <c r="P523" s="1"/>
      <c r="Q523" s="1"/>
      <c r="R523" s="1"/>
      <c r="S523" s="1"/>
      <c r="AF523" s="7"/>
      <c r="AN523" s="1"/>
    </row>
    <row r="524" spans="2:41" x14ac:dyDescent="0.15">
      <c r="D524" s="210"/>
      <c r="E524" s="211"/>
      <c r="F524" s="124"/>
      <c r="G524" s="128" t="s">
        <v>11</v>
      </c>
      <c r="H524" s="128" t="s">
        <v>12</v>
      </c>
      <c r="I524" s="39" t="s">
        <v>13</v>
      </c>
      <c r="J524" s="124"/>
      <c r="K524" s="128" t="s">
        <v>11</v>
      </c>
      <c r="L524" s="128" t="s">
        <v>12</v>
      </c>
      <c r="M524" s="128" t="s">
        <v>13</v>
      </c>
      <c r="N524" s="1"/>
      <c r="O524" s="1"/>
      <c r="P524" s="1"/>
      <c r="Q524" s="1"/>
      <c r="R524" s="1"/>
      <c r="S524" s="1"/>
      <c r="AF524" s="7"/>
      <c r="AN524" s="1"/>
    </row>
    <row r="525" spans="2:41" x14ac:dyDescent="0.15">
      <c r="D525" s="188" t="s">
        <v>106</v>
      </c>
      <c r="E525" s="189"/>
      <c r="F525" s="22">
        <f>G525+H525+I525</f>
        <v>185</v>
      </c>
      <c r="G525" s="23">
        <v>21</v>
      </c>
      <c r="H525" s="23">
        <v>54</v>
      </c>
      <c r="I525" s="24">
        <v>110</v>
      </c>
      <c r="J525" s="22">
        <f>K525+L525+M525</f>
        <v>146</v>
      </c>
      <c r="K525" s="23">
        <v>18</v>
      </c>
      <c r="L525" s="23">
        <v>45</v>
      </c>
      <c r="M525" s="23">
        <v>83</v>
      </c>
      <c r="N525" s="1"/>
      <c r="O525" s="1"/>
      <c r="P525" s="1"/>
      <c r="Q525" s="1"/>
      <c r="R525" s="1"/>
      <c r="S525" s="1"/>
      <c r="T525" s="1" t="s">
        <v>106</v>
      </c>
      <c r="U525" s="6">
        <v>185</v>
      </c>
      <c r="AF525" s="7"/>
      <c r="AN525" s="1"/>
    </row>
    <row r="526" spans="2:41" x14ac:dyDescent="0.15">
      <c r="D526" s="191"/>
      <c r="E526" s="192"/>
      <c r="F526" s="40">
        <f>ROUND(F525/(F$525+F$527+F$529+F$531),3)</f>
        <v>0.27900000000000003</v>
      </c>
      <c r="G526" s="41">
        <f t="shared" ref="G526:H526" si="555">ROUND(G525/(G$525+G$527+G$529+G$531),3)</f>
        <v>0.35</v>
      </c>
      <c r="H526" s="41">
        <f t="shared" si="555"/>
        <v>0.28999999999999998</v>
      </c>
      <c r="I526" s="42">
        <f>ROUND(I525/(I$525+I$527+I$529+I$531),3)+0.001</f>
        <v>0.26400000000000001</v>
      </c>
      <c r="J526" s="40">
        <f>ROUND(J525/(J$525+J$527+J$529+J$531),3)</f>
        <v>0.21</v>
      </c>
      <c r="K526" s="41">
        <f t="shared" ref="K526:L526" si="556">ROUND(K525/(K$525+K$527+K$529+K$531),3)</f>
        <v>0.23699999999999999</v>
      </c>
      <c r="L526" s="41">
        <f t="shared" si="556"/>
        <v>0.21199999999999999</v>
      </c>
      <c r="M526" s="41">
        <f>ROUND(M525/(M$525+M$527+M$529+M$531),3)+0.001</f>
        <v>0.20400000000000001</v>
      </c>
      <c r="N526" s="1"/>
      <c r="O526" s="1"/>
      <c r="P526" s="1"/>
      <c r="Q526" s="1"/>
      <c r="R526" s="1"/>
      <c r="S526" s="1"/>
      <c r="T526" s="1" t="s">
        <v>107</v>
      </c>
      <c r="U526" s="6">
        <v>295</v>
      </c>
      <c r="AF526" s="7"/>
      <c r="AN526" s="1"/>
    </row>
    <row r="527" spans="2:41" x14ac:dyDescent="0.15">
      <c r="D527" s="209" t="s">
        <v>107</v>
      </c>
      <c r="E527" s="189"/>
      <c r="F527" s="22">
        <f>G527+H527+I527</f>
        <v>295</v>
      </c>
      <c r="G527" s="23">
        <v>24</v>
      </c>
      <c r="H527" s="23">
        <v>75</v>
      </c>
      <c r="I527" s="24">
        <v>196</v>
      </c>
      <c r="J527" s="22">
        <f>K527+L527+M527</f>
        <v>329</v>
      </c>
      <c r="K527" s="23">
        <v>39</v>
      </c>
      <c r="L527" s="23">
        <v>92</v>
      </c>
      <c r="M527" s="23">
        <v>198</v>
      </c>
      <c r="N527" s="1"/>
      <c r="O527" s="1"/>
      <c r="P527" s="1"/>
      <c r="Q527" s="1"/>
      <c r="R527" s="1"/>
      <c r="S527" s="1"/>
      <c r="T527" s="1" t="s">
        <v>108</v>
      </c>
      <c r="U527" s="6">
        <v>127</v>
      </c>
      <c r="AF527" s="7"/>
      <c r="AN527" s="1"/>
    </row>
    <row r="528" spans="2:41" x14ac:dyDescent="0.15">
      <c r="D528" s="191"/>
      <c r="E528" s="192"/>
      <c r="F528" s="40">
        <f>ROUND(F527/(F$525+F$527+F$529+F$531),3)</f>
        <v>0.44400000000000001</v>
      </c>
      <c r="G528" s="41">
        <f t="shared" ref="G528" si="557">ROUND(G527/(G$525+G$527+G$529+G$531),3)</f>
        <v>0.4</v>
      </c>
      <c r="H528" s="41">
        <f t="shared" ref="H528" si="558">ROUND(H527/(H$525+H$527+H$529+H$531),3)</f>
        <v>0.40300000000000002</v>
      </c>
      <c r="I528" s="42">
        <f t="shared" ref="I528" si="559">ROUND(I527/(I$525+I$527+I$529+I$531),3)</f>
        <v>0.46899999999999997</v>
      </c>
      <c r="J528" s="40">
        <f>ROUND(J527/(J$525+J$527+J$529+J$531),3)</f>
        <v>0.47299999999999998</v>
      </c>
      <c r="K528" s="41">
        <f t="shared" ref="K528:M528" si="560">ROUND(K527/(K$525+K$527+K$529+K$531),3)</f>
        <v>0.51300000000000001</v>
      </c>
      <c r="L528" s="41">
        <f t="shared" si="560"/>
        <v>0.434</v>
      </c>
      <c r="M528" s="41">
        <f t="shared" si="560"/>
        <v>0.48499999999999999</v>
      </c>
      <c r="N528" s="1"/>
      <c r="O528" s="1"/>
      <c r="P528" s="1"/>
      <c r="Q528" s="1"/>
      <c r="R528" s="1"/>
      <c r="S528" s="1"/>
      <c r="T528" s="1" t="s">
        <v>109</v>
      </c>
      <c r="U528" s="6">
        <v>57</v>
      </c>
      <c r="AF528" s="7"/>
      <c r="AN528" s="1"/>
    </row>
    <row r="529" spans="2:41" x14ac:dyDescent="0.15">
      <c r="D529" s="209" t="s">
        <v>108</v>
      </c>
      <c r="E529" s="189"/>
      <c r="F529" s="22">
        <f>G529+H529+I529</f>
        <v>127</v>
      </c>
      <c r="G529" s="23">
        <v>11</v>
      </c>
      <c r="H529" s="23">
        <v>38</v>
      </c>
      <c r="I529" s="24">
        <v>78</v>
      </c>
      <c r="J529" s="22">
        <f>K529+L529+M529</f>
        <v>156</v>
      </c>
      <c r="K529" s="23">
        <v>14</v>
      </c>
      <c r="L529" s="23">
        <v>51</v>
      </c>
      <c r="M529" s="23">
        <v>91</v>
      </c>
      <c r="N529" s="1"/>
      <c r="O529" s="1"/>
      <c r="P529" s="1"/>
      <c r="Q529" s="1"/>
      <c r="R529" s="1"/>
      <c r="S529" s="1"/>
      <c r="AF529" s="7"/>
      <c r="AN529" s="1"/>
    </row>
    <row r="530" spans="2:41" x14ac:dyDescent="0.15">
      <c r="D530" s="191"/>
      <c r="E530" s="192"/>
      <c r="F530" s="40">
        <f>ROUND(F529/(F$525+F$527+F$529+F$531),3)</f>
        <v>0.191</v>
      </c>
      <c r="G530" s="41">
        <f t="shared" ref="G530" si="561">ROUND(G529/(G$525+G$527+G$529+G$531),3)</f>
        <v>0.183</v>
      </c>
      <c r="H530" s="41">
        <f t="shared" ref="H530" si="562">ROUND(H529/(H$525+H$527+H$529+H$531),3)</f>
        <v>0.20399999999999999</v>
      </c>
      <c r="I530" s="42">
        <f t="shared" ref="I530" si="563">ROUND(I529/(I$525+I$527+I$529+I$531),3)</f>
        <v>0.187</v>
      </c>
      <c r="J530" s="40">
        <f>ROUND(J529/(J$525+J$527+J$529+J$531),3)</f>
        <v>0.224</v>
      </c>
      <c r="K530" s="41">
        <f t="shared" ref="K530:M530" si="564">ROUND(K529/(K$525+K$527+K$529+K$531),3)</f>
        <v>0.184</v>
      </c>
      <c r="L530" s="41">
        <f t="shared" si="564"/>
        <v>0.24099999999999999</v>
      </c>
      <c r="M530" s="41">
        <f t="shared" si="564"/>
        <v>0.223</v>
      </c>
      <c r="N530" s="1"/>
      <c r="O530" s="1"/>
      <c r="P530" s="1"/>
      <c r="Q530" s="1"/>
      <c r="R530" s="1"/>
      <c r="S530" s="1"/>
      <c r="AF530" s="7"/>
      <c r="AN530" s="1"/>
    </row>
    <row r="531" spans="2:41" x14ac:dyDescent="0.15">
      <c r="D531" s="188" t="s">
        <v>109</v>
      </c>
      <c r="E531" s="189"/>
      <c r="F531" s="22">
        <f>G531+H531+I531</f>
        <v>57</v>
      </c>
      <c r="G531" s="23">
        <v>4</v>
      </c>
      <c r="H531" s="23">
        <v>19</v>
      </c>
      <c r="I531" s="24">
        <v>34</v>
      </c>
      <c r="J531" s="22">
        <f>K531+L531+M531</f>
        <v>65</v>
      </c>
      <c r="K531" s="23">
        <v>5</v>
      </c>
      <c r="L531" s="23">
        <v>24</v>
      </c>
      <c r="M531" s="23">
        <v>36</v>
      </c>
      <c r="N531" s="1"/>
      <c r="O531" s="1"/>
      <c r="P531" s="1"/>
      <c r="Q531" s="1"/>
      <c r="R531" s="1"/>
      <c r="S531" s="1"/>
      <c r="AF531" s="7"/>
      <c r="AN531" s="1"/>
    </row>
    <row r="532" spans="2:41" x14ac:dyDescent="0.15">
      <c r="D532" s="191"/>
      <c r="E532" s="192"/>
      <c r="F532" s="40">
        <f>ROUND(F531/(F$525+F$527+F$529+F$531),3)</f>
        <v>8.5999999999999993E-2</v>
      </c>
      <c r="G532" s="41">
        <f t="shared" ref="G532" si="565">ROUND(G531/(G$525+G$527+G$529+G$531),3)</f>
        <v>6.7000000000000004E-2</v>
      </c>
      <c r="H532" s="41">
        <f t="shared" ref="H532" si="566">ROUND(H531/(H$525+H$527+H$529+H$531),3)</f>
        <v>0.10199999999999999</v>
      </c>
      <c r="I532" s="42">
        <f t="shared" ref="I532" si="567">ROUND(I531/(I$525+I$527+I$529+I$531),3)</f>
        <v>8.1000000000000003E-2</v>
      </c>
      <c r="J532" s="40">
        <f>ROUND(J531/(J$525+J$527+J$529+J$531),3)</f>
        <v>9.2999999999999999E-2</v>
      </c>
      <c r="K532" s="41">
        <f t="shared" ref="K532:M532" si="568">ROUND(K531/(K$525+K$527+K$529+K$531),3)</f>
        <v>6.6000000000000003E-2</v>
      </c>
      <c r="L532" s="41">
        <f t="shared" si="568"/>
        <v>0.113</v>
      </c>
      <c r="M532" s="41">
        <f t="shared" si="568"/>
        <v>8.7999999999999995E-2</v>
      </c>
      <c r="N532" s="1"/>
      <c r="O532" s="1"/>
      <c r="P532" s="1"/>
      <c r="Q532" s="1"/>
      <c r="R532" s="1"/>
      <c r="S532" s="1"/>
      <c r="AF532" s="7"/>
      <c r="AN532" s="1"/>
    </row>
    <row r="533" spans="2:41" x14ac:dyDescent="0.15">
      <c r="D533" s="187" t="s">
        <v>20</v>
      </c>
      <c r="E533" s="194"/>
      <c r="F533" s="22">
        <f>F525+F527+F529+F531</f>
        <v>664</v>
      </c>
      <c r="G533" s="23">
        <f t="shared" ref="G533:I533" si="569">G525+G527+G529+G531</f>
        <v>60</v>
      </c>
      <c r="H533" s="23">
        <f t="shared" si="569"/>
        <v>186</v>
      </c>
      <c r="I533" s="24">
        <f t="shared" si="569"/>
        <v>418</v>
      </c>
      <c r="J533" s="22">
        <f>J525+J527+J529+J531</f>
        <v>696</v>
      </c>
      <c r="K533" s="23">
        <f t="shared" ref="K533:M533" si="570">K525+K527+K529+K531</f>
        <v>76</v>
      </c>
      <c r="L533" s="23">
        <f t="shared" si="570"/>
        <v>212</v>
      </c>
      <c r="M533" s="23">
        <f t="shared" si="570"/>
        <v>408</v>
      </c>
      <c r="N533" s="1"/>
      <c r="O533" s="1"/>
      <c r="P533" s="1"/>
      <c r="Q533" s="1"/>
      <c r="R533" s="1"/>
      <c r="S533" s="1"/>
      <c r="AF533" s="7"/>
      <c r="AN533" s="1"/>
    </row>
    <row r="534" spans="2:41" ht="14.25" thickBot="1" x14ac:dyDescent="0.2">
      <c r="D534" s="187"/>
      <c r="E534" s="194"/>
      <c r="F534" s="133">
        <f>F526+F528+F530+F532</f>
        <v>1.0000000000000002</v>
      </c>
      <c r="G534" s="134">
        <f t="shared" ref="G534:I534" si="571">G526+G528+G530+G532</f>
        <v>1</v>
      </c>
      <c r="H534" s="134">
        <f t="shared" si="571"/>
        <v>0.999</v>
      </c>
      <c r="I534" s="135">
        <f t="shared" si="571"/>
        <v>1.0009999999999999</v>
      </c>
      <c r="J534" s="137">
        <f>J526+J528+J530+J532</f>
        <v>0.99999999999999989</v>
      </c>
      <c r="K534" s="136">
        <f t="shared" ref="K534:M534" si="572">K526+K528+K530+K532</f>
        <v>1</v>
      </c>
      <c r="L534" s="136">
        <f t="shared" si="572"/>
        <v>1</v>
      </c>
      <c r="M534" s="136">
        <f t="shared" si="572"/>
        <v>1</v>
      </c>
      <c r="N534" s="1"/>
      <c r="O534" s="1"/>
      <c r="P534" s="1"/>
      <c r="Q534" s="1"/>
      <c r="R534" s="1"/>
      <c r="S534" s="1"/>
      <c r="AF534" s="7"/>
      <c r="AN534" s="1"/>
    </row>
    <row r="535" spans="2:41" x14ac:dyDescent="0.15">
      <c r="D535" s="82"/>
      <c r="E535" s="129"/>
      <c r="F535" s="57"/>
      <c r="G535" s="57"/>
      <c r="H535" s="57"/>
      <c r="I535" s="57"/>
      <c r="J535" s="50"/>
      <c r="K535" s="34"/>
      <c r="N535" s="1"/>
      <c r="O535" s="1"/>
      <c r="P535" s="1"/>
      <c r="Q535" s="1"/>
      <c r="R535" s="1"/>
      <c r="S535" s="1"/>
      <c r="AF535" s="7"/>
      <c r="AN535" s="1"/>
    </row>
    <row r="536" spans="2:41" x14ac:dyDescent="0.15">
      <c r="D536" s="82"/>
      <c r="E536" s="129"/>
      <c r="F536" s="129"/>
      <c r="G536" s="57"/>
      <c r="H536" s="57"/>
      <c r="I536" s="57"/>
      <c r="J536" s="57"/>
      <c r="K536" s="57"/>
      <c r="L536" s="57"/>
      <c r="M536" s="57"/>
      <c r="N536" s="57"/>
      <c r="O536" s="69"/>
      <c r="P536" s="57"/>
      <c r="Q536" s="57"/>
      <c r="R536" s="57"/>
      <c r="S536" s="57"/>
      <c r="T536" s="50"/>
      <c r="U536" s="12"/>
      <c r="V536" s="50"/>
      <c r="W536" s="34"/>
      <c r="X536" s="2"/>
      <c r="AN536" s="1"/>
      <c r="AO536" s="7"/>
    </row>
    <row r="537" spans="2:41" x14ac:dyDescent="0.15">
      <c r="D537" s="82"/>
      <c r="E537" s="129"/>
      <c r="F537" s="129"/>
      <c r="G537" s="57"/>
      <c r="H537" s="57"/>
      <c r="I537" s="57"/>
      <c r="J537" s="57"/>
      <c r="K537" s="57"/>
      <c r="L537" s="57"/>
      <c r="M537" s="57"/>
      <c r="N537" s="57"/>
      <c r="O537" s="69"/>
      <c r="P537" s="57"/>
      <c r="Q537" s="57"/>
      <c r="R537" s="57"/>
      <c r="S537" s="57"/>
      <c r="T537" s="50"/>
      <c r="U537" s="12"/>
      <c r="V537" s="50"/>
      <c r="W537" s="34"/>
      <c r="X537" s="2"/>
      <c r="AN537" s="1"/>
      <c r="AO537" s="7"/>
    </row>
    <row r="538" spans="2:41" ht="14.25" thickBot="1" x14ac:dyDescent="0.2">
      <c r="B538" s="3"/>
      <c r="C538" s="2" t="s">
        <v>138</v>
      </c>
      <c r="K538" s="5"/>
      <c r="O538" s="5"/>
    </row>
    <row r="539" spans="2:41" x14ac:dyDescent="0.15">
      <c r="D539" s="203"/>
      <c r="E539" s="197"/>
      <c r="F539" s="184" t="s">
        <v>265</v>
      </c>
      <c r="G539" s="185"/>
      <c r="H539" s="185"/>
      <c r="I539" s="186"/>
      <c r="J539" s="182" t="s">
        <v>60</v>
      </c>
      <c r="K539" s="187"/>
      <c r="L539" s="187"/>
      <c r="M539" s="187"/>
      <c r="N539" s="1"/>
      <c r="O539" s="1"/>
      <c r="P539" s="1"/>
      <c r="Q539" s="1"/>
      <c r="R539" s="1"/>
      <c r="S539" s="1"/>
      <c r="AF539" s="7"/>
      <c r="AN539" s="1"/>
    </row>
    <row r="540" spans="2:41" x14ac:dyDescent="0.15">
      <c r="D540" s="210"/>
      <c r="E540" s="211"/>
      <c r="F540" s="124"/>
      <c r="G540" s="128" t="s">
        <v>11</v>
      </c>
      <c r="H540" s="128" t="s">
        <v>12</v>
      </c>
      <c r="I540" s="39" t="s">
        <v>13</v>
      </c>
      <c r="J540" s="124"/>
      <c r="K540" s="128" t="s">
        <v>11</v>
      </c>
      <c r="L540" s="128" t="s">
        <v>12</v>
      </c>
      <c r="M540" s="128" t="s">
        <v>13</v>
      </c>
      <c r="N540" s="1"/>
      <c r="O540" s="1"/>
      <c r="P540" s="1"/>
      <c r="Q540" s="1"/>
      <c r="R540" s="1"/>
      <c r="S540" s="1"/>
      <c r="AF540" s="7"/>
      <c r="AN540" s="1"/>
    </row>
    <row r="541" spans="2:41" x14ac:dyDescent="0.15">
      <c r="D541" s="188" t="s">
        <v>106</v>
      </c>
      <c r="E541" s="189"/>
      <c r="F541" s="22">
        <f>G541+H541+I541</f>
        <v>229</v>
      </c>
      <c r="G541" s="23">
        <v>23</v>
      </c>
      <c r="H541" s="23">
        <v>69</v>
      </c>
      <c r="I541" s="24">
        <v>137</v>
      </c>
      <c r="J541" s="22">
        <f>K541+L541+M541</f>
        <v>181</v>
      </c>
      <c r="K541" s="23">
        <v>14</v>
      </c>
      <c r="L541" s="23">
        <v>53</v>
      </c>
      <c r="M541" s="23">
        <v>114</v>
      </c>
      <c r="N541" s="1"/>
      <c r="O541" s="1"/>
      <c r="P541" s="1"/>
      <c r="Q541" s="1"/>
      <c r="R541" s="1"/>
      <c r="S541" s="1"/>
      <c r="T541" s="1" t="s">
        <v>106</v>
      </c>
      <c r="U541" s="6">
        <v>345</v>
      </c>
      <c r="AF541" s="7"/>
      <c r="AN541" s="1"/>
    </row>
    <row r="542" spans="2:41" x14ac:dyDescent="0.15">
      <c r="D542" s="191"/>
      <c r="E542" s="192"/>
      <c r="F542" s="40">
        <f>ROUND(F541/(F$541+F$543+F$545+F$547),3)</f>
        <v>0.34499999999999997</v>
      </c>
      <c r="G542" s="41">
        <f t="shared" ref="G542:I542" si="573">ROUND(G541/(G$541+G$543+G$545+G$547),3)</f>
        <v>0.39</v>
      </c>
      <c r="H542" s="41">
        <f t="shared" si="573"/>
        <v>0.371</v>
      </c>
      <c r="I542" s="42">
        <f t="shared" si="573"/>
        <v>0.32700000000000001</v>
      </c>
      <c r="J542" s="40">
        <f>ROUND(J541/(J$541+J$543+J$545+J$547),3)</f>
        <v>0.25900000000000001</v>
      </c>
      <c r="K542" s="41">
        <f t="shared" ref="K542:M542" si="574">ROUND(K541/(K$541+K$543+K$545+K$547),3)</f>
        <v>0.184</v>
      </c>
      <c r="L542" s="41">
        <f t="shared" si="574"/>
        <v>0.247</v>
      </c>
      <c r="M542" s="41">
        <f t="shared" si="574"/>
        <v>0.27900000000000003</v>
      </c>
      <c r="N542" s="1"/>
      <c r="O542" s="1"/>
      <c r="P542" s="1"/>
      <c r="Q542" s="1"/>
      <c r="R542" s="1"/>
      <c r="S542" s="1"/>
      <c r="T542" s="1" t="s">
        <v>107</v>
      </c>
      <c r="U542" s="6">
        <v>512</v>
      </c>
      <c r="AF542" s="7"/>
      <c r="AN542" s="1"/>
    </row>
    <row r="543" spans="2:41" x14ac:dyDescent="0.15">
      <c r="D543" s="209" t="s">
        <v>107</v>
      </c>
      <c r="E543" s="189"/>
      <c r="F543" s="22">
        <f>G543+H543+I543</f>
        <v>339</v>
      </c>
      <c r="G543" s="23">
        <v>27</v>
      </c>
      <c r="H543" s="23">
        <v>91</v>
      </c>
      <c r="I543" s="24">
        <v>221</v>
      </c>
      <c r="J543" s="22">
        <f>K543+L543+M543</f>
        <v>398</v>
      </c>
      <c r="K543" s="23">
        <v>43</v>
      </c>
      <c r="L543" s="23">
        <v>126</v>
      </c>
      <c r="M543" s="23">
        <v>229</v>
      </c>
      <c r="N543" s="1"/>
      <c r="O543" s="1"/>
      <c r="P543" s="1"/>
      <c r="Q543" s="1"/>
      <c r="R543" s="1"/>
      <c r="S543" s="1"/>
      <c r="T543" s="1" t="s">
        <v>108</v>
      </c>
      <c r="U543" s="6">
        <v>96</v>
      </c>
      <c r="AF543" s="7"/>
      <c r="AN543" s="1"/>
    </row>
    <row r="544" spans="2:41" x14ac:dyDescent="0.15">
      <c r="D544" s="191"/>
      <c r="E544" s="192"/>
      <c r="F544" s="40">
        <f>ROUND(F543/(F$541+F$543+F$545+F$547),3)</f>
        <v>0.51100000000000001</v>
      </c>
      <c r="G544" s="41">
        <f t="shared" ref="G544" si="575">ROUND(G543/(G$541+G$543+G$545+G$547),3)</f>
        <v>0.45800000000000002</v>
      </c>
      <c r="H544" s="41">
        <f t="shared" ref="H544" si="576">ROUND(H543/(H$541+H$543+H$545+H$547),3)</f>
        <v>0.48899999999999999</v>
      </c>
      <c r="I544" s="42">
        <f t="shared" ref="I544" si="577">ROUND(I543/(I$541+I$543+I$545+I$547),3)</f>
        <v>0.52700000000000002</v>
      </c>
      <c r="J544" s="40">
        <f>ROUND(J543/(J$541+J$543+J$545+J$547),3)+0.001</f>
        <v>0.56999999999999995</v>
      </c>
      <c r="K544" s="41">
        <f t="shared" ref="K544:M544" si="578">ROUND(K543/(K$541+K$543+K$545+K$547),3)</f>
        <v>0.56599999999999995</v>
      </c>
      <c r="L544" s="41">
        <f t="shared" si="578"/>
        <v>0.58599999999999997</v>
      </c>
      <c r="M544" s="41">
        <f t="shared" si="578"/>
        <v>0.56100000000000005</v>
      </c>
      <c r="N544" s="1"/>
      <c r="O544" s="1"/>
      <c r="P544" s="1"/>
      <c r="Q544" s="1"/>
      <c r="R544" s="1"/>
      <c r="S544" s="1"/>
      <c r="T544" s="1" t="s">
        <v>109</v>
      </c>
      <c r="U544" s="6">
        <v>48</v>
      </c>
      <c r="AF544" s="7"/>
      <c r="AN544" s="1"/>
    </row>
    <row r="545" spans="2:41" x14ac:dyDescent="0.15">
      <c r="D545" s="209" t="s">
        <v>108</v>
      </c>
      <c r="E545" s="189"/>
      <c r="F545" s="22">
        <f>G545+H545+I545</f>
        <v>64</v>
      </c>
      <c r="G545" s="23">
        <v>5</v>
      </c>
      <c r="H545" s="23">
        <v>17</v>
      </c>
      <c r="I545" s="24">
        <v>42</v>
      </c>
      <c r="J545" s="22">
        <f>K545+L545+M545</f>
        <v>96</v>
      </c>
      <c r="K545" s="23">
        <v>13</v>
      </c>
      <c r="L545" s="23">
        <v>33</v>
      </c>
      <c r="M545" s="23">
        <v>50</v>
      </c>
      <c r="N545" s="1"/>
      <c r="O545" s="1"/>
      <c r="P545" s="1"/>
      <c r="Q545" s="1"/>
      <c r="R545" s="1"/>
      <c r="S545" s="1"/>
      <c r="AF545" s="7"/>
      <c r="AN545" s="1"/>
    </row>
    <row r="546" spans="2:41" x14ac:dyDescent="0.15">
      <c r="D546" s="191"/>
      <c r="E546" s="192"/>
      <c r="F546" s="40">
        <f>ROUND(F545/(F$541+F$543+F$545+F$547),3)</f>
        <v>9.6000000000000002E-2</v>
      </c>
      <c r="G546" s="41">
        <f t="shared" ref="G546" si="579">ROUND(G545/(G$541+G$543+G$545+G$547),3)</f>
        <v>8.5000000000000006E-2</v>
      </c>
      <c r="H546" s="41">
        <f>ROUND(H545/(H$541+H$543+H$545+H$547),3)</f>
        <v>9.0999999999999998E-2</v>
      </c>
      <c r="I546" s="42">
        <f t="shared" ref="I546" si="580">ROUND(I545/(I$541+I$543+I$545+I$547),3)</f>
        <v>0.1</v>
      </c>
      <c r="J546" s="40">
        <f>ROUND(J545/(J$541+J$543+J$545+J$547),3)</f>
        <v>0.13700000000000001</v>
      </c>
      <c r="K546" s="41">
        <f t="shared" ref="K546" si="581">ROUND(K545/(K$541+K$543+K$545+K$547),3)</f>
        <v>0.17100000000000001</v>
      </c>
      <c r="L546" s="41">
        <f>ROUND(L545/(L$541+L$543+L$545+L$547),3)</f>
        <v>0.153</v>
      </c>
      <c r="M546" s="41">
        <f t="shared" ref="M546" si="582">ROUND(M545/(M$541+M$543+M$545+M$547),3)</f>
        <v>0.123</v>
      </c>
      <c r="N546" s="1"/>
      <c r="O546" s="1"/>
      <c r="P546" s="1"/>
      <c r="Q546" s="1"/>
      <c r="R546" s="1"/>
      <c r="S546" s="1"/>
      <c r="AF546" s="7"/>
      <c r="AN546" s="1"/>
    </row>
    <row r="547" spans="2:41" x14ac:dyDescent="0.15">
      <c r="D547" s="188" t="s">
        <v>109</v>
      </c>
      <c r="E547" s="189"/>
      <c r="F547" s="22">
        <f>G547+H547+I547</f>
        <v>32</v>
      </c>
      <c r="G547" s="23">
        <v>4</v>
      </c>
      <c r="H547" s="23">
        <v>9</v>
      </c>
      <c r="I547" s="24">
        <v>19</v>
      </c>
      <c r="J547" s="22">
        <f>K547+L547+M547</f>
        <v>24</v>
      </c>
      <c r="K547" s="23">
        <v>6</v>
      </c>
      <c r="L547" s="23">
        <v>3</v>
      </c>
      <c r="M547" s="23">
        <v>15</v>
      </c>
      <c r="N547" s="1"/>
      <c r="O547" s="1"/>
      <c r="P547" s="1"/>
      <c r="Q547" s="1"/>
      <c r="R547" s="1"/>
      <c r="S547" s="1"/>
      <c r="AF547" s="7"/>
      <c r="AN547" s="1"/>
    </row>
    <row r="548" spans="2:41" x14ac:dyDescent="0.15">
      <c r="D548" s="191"/>
      <c r="E548" s="192"/>
      <c r="F548" s="40">
        <f>ROUND(F547/(F$541+F$543+F$545+F$547),3)</f>
        <v>4.8000000000000001E-2</v>
      </c>
      <c r="G548" s="41">
        <f t="shared" ref="G548" si="583">ROUND(G547/(G$541+G$543+G$545+G$547),3)</f>
        <v>6.8000000000000005E-2</v>
      </c>
      <c r="H548" s="41">
        <f t="shared" ref="H548" si="584">ROUND(H547/(H$541+H$543+H$545+H$547),3)</f>
        <v>4.8000000000000001E-2</v>
      </c>
      <c r="I548" s="42">
        <f t="shared" ref="I548" si="585">ROUND(I547/(I$541+I$543+I$545+I$547),3)</f>
        <v>4.4999999999999998E-2</v>
      </c>
      <c r="J548" s="40">
        <f>ROUND(J547/(J$541+J$543+J$545+J$547),3)</f>
        <v>3.4000000000000002E-2</v>
      </c>
      <c r="K548" s="41">
        <f t="shared" ref="K548:M548" si="586">ROUND(K547/(K$541+K$543+K$545+K$547),3)</f>
        <v>7.9000000000000001E-2</v>
      </c>
      <c r="L548" s="41">
        <f t="shared" si="586"/>
        <v>1.4E-2</v>
      </c>
      <c r="M548" s="41">
        <f t="shared" si="586"/>
        <v>3.6999999999999998E-2</v>
      </c>
      <c r="N548" s="1"/>
      <c r="O548" s="1"/>
      <c r="P548" s="1"/>
      <c r="Q548" s="1"/>
      <c r="R548" s="1"/>
      <c r="S548" s="1"/>
      <c r="AF548" s="7"/>
      <c r="AN548" s="1"/>
    </row>
    <row r="549" spans="2:41" x14ac:dyDescent="0.15">
      <c r="D549" s="187" t="s">
        <v>20</v>
      </c>
      <c r="E549" s="194"/>
      <c r="F549" s="22">
        <f>F541+F543+F545+F547</f>
        <v>664</v>
      </c>
      <c r="G549" s="23">
        <f>G541+G543+G545+G547</f>
        <v>59</v>
      </c>
      <c r="H549" s="23">
        <f t="shared" ref="H549:I549" si="587">H541+H543+H545+H547</f>
        <v>186</v>
      </c>
      <c r="I549" s="24">
        <f t="shared" si="587"/>
        <v>419</v>
      </c>
      <c r="J549" s="22">
        <f>J541+J543+J545+J547</f>
        <v>699</v>
      </c>
      <c r="K549" s="23">
        <f>K541+K543+K545+K547</f>
        <v>76</v>
      </c>
      <c r="L549" s="23">
        <f t="shared" ref="L549:M549" si="588">L541+L543+L545+L547</f>
        <v>215</v>
      </c>
      <c r="M549" s="23">
        <f t="shared" si="588"/>
        <v>408</v>
      </c>
      <c r="N549" s="1"/>
      <c r="O549" s="1"/>
      <c r="P549" s="1"/>
      <c r="Q549" s="1"/>
      <c r="R549" s="1"/>
      <c r="S549" s="1"/>
      <c r="AF549" s="7"/>
      <c r="AN549" s="1"/>
    </row>
    <row r="550" spans="2:41" ht="14.25" thickBot="1" x14ac:dyDescent="0.2">
      <c r="D550" s="187"/>
      <c r="E550" s="194"/>
      <c r="F550" s="133">
        <f>F542+F544+F546+F548</f>
        <v>1</v>
      </c>
      <c r="G550" s="134">
        <f t="shared" ref="G550:I550" si="589">G542+G544+G546+G548</f>
        <v>1.0010000000000001</v>
      </c>
      <c r="H550" s="134">
        <f t="shared" si="589"/>
        <v>0.999</v>
      </c>
      <c r="I550" s="135">
        <f t="shared" si="589"/>
        <v>0.99900000000000011</v>
      </c>
      <c r="J550" s="137">
        <f>J542+J544+J546+J548</f>
        <v>1</v>
      </c>
      <c r="K550" s="136">
        <f t="shared" ref="K550:M550" si="590">K542+K544+K546+K548</f>
        <v>1</v>
      </c>
      <c r="L550" s="136">
        <f t="shared" si="590"/>
        <v>1</v>
      </c>
      <c r="M550" s="136">
        <f t="shared" si="590"/>
        <v>1</v>
      </c>
      <c r="N550" s="1"/>
      <c r="O550" s="1"/>
      <c r="P550" s="1"/>
      <c r="Q550" s="1"/>
      <c r="R550" s="1"/>
      <c r="S550" s="1"/>
      <c r="AF550" s="7"/>
      <c r="AN550" s="1"/>
    </row>
    <row r="551" spans="2:41" x14ac:dyDescent="0.15">
      <c r="D551" s="82"/>
      <c r="E551" s="129"/>
      <c r="F551" s="57"/>
      <c r="G551" s="57"/>
      <c r="H551" s="57"/>
      <c r="I551" s="57"/>
      <c r="J551" s="50"/>
      <c r="K551" s="34"/>
      <c r="N551" s="1"/>
      <c r="O551" s="1"/>
      <c r="P551" s="1"/>
      <c r="Q551" s="1"/>
      <c r="R551" s="1"/>
      <c r="S551" s="1"/>
      <c r="AF551" s="7"/>
      <c r="AN551" s="1"/>
    </row>
    <row r="552" spans="2:41" x14ac:dyDescent="0.15">
      <c r="D552" s="82"/>
      <c r="E552" s="129"/>
      <c r="F552" s="129"/>
      <c r="G552" s="57"/>
      <c r="H552" s="57"/>
      <c r="I552" s="57"/>
      <c r="J552" s="57"/>
      <c r="K552" s="57"/>
      <c r="L552" s="57"/>
      <c r="M552" s="57"/>
      <c r="N552" s="57"/>
      <c r="O552" s="69"/>
      <c r="P552" s="57"/>
      <c r="Q552" s="57"/>
      <c r="R552" s="57"/>
      <c r="S552" s="57"/>
      <c r="T552" s="50"/>
      <c r="U552" s="12"/>
      <c r="V552" s="50"/>
      <c r="W552" s="34"/>
      <c r="X552" s="2"/>
      <c r="AN552" s="1"/>
      <c r="AO552" s="7"/>
    </row>
    <row r="553" spans="2:41" x14ac:dyDescent="0.15">
      <c r="D553" s="82"/>
      <c r="E553" s="129"/>
      <c r="F553" s="129"/>
      <c r="G553" s="57"/>
      <c r="H553" s="57"/>
      <c r="I553" s="57"/>
      <c r="J553" s="57"/>
      <c r="K553" s="57"/>
      <c r="L553" s="57"/>
      <c r="M553" s="57"/>
      <c r="N553" s="57"/>
      <c r="O553" s="69"/>
      <c r="P553" s="57"/>
      <c r="Q553" s="57"/>
      <c r="R553" s="57"/>
      <c r="S553" s="57"/>
      <c r="T553" s="50"/>
      <c r="U553" s="12"/>
      <c r="V553" s="50"/>
      <c r="W553" s="34"/>
      <c r="X553" s="2"/>
      <c r="AN553" s="1"/>
      <c r="AO553" s="7"/>
    </row>
    <row r="554" spans="2:41" ht="14.25" thickBot="1" x14ac:dyDescent="0.2">
      <c r="B554" s="3"/>
      <c r="C554" s="2" t="s">
        <v>139</v>
      </c>
      <c r="K554" s="5"/>
      <c r="O554" s="5"/>
    </row>
    <row r="555" spans="2:41" x14ac:dyDescent="0.15">
      <c r="D555" s="203"/>
      <c r="E555" s="197"/>
      <c r="F555" s="184" t="s">
        <v>265</v>
      </c>
      <c r="G555" s="185"/>
      <c r="H555" s="185"/>
      <c r="I555" s="186"/>
      <c r="J555" s="182" t="s">
        <v>60</v>
      </c>
      <c r="K555" s="187"/>
      <c r="L555" s="187"/>
      <c r="M555" s="187"/>
      <c r="N555" s="1"/>
      <c r="O555" s="1"/>
      <c r="P555" s="1"/>
      <c r="Q555" s="1"/>
      <c r="R555" s="1"/>
      <c r="S555" s="1"/>
      <c r="AF555" s="7"/>
      <c r="AN555" s="1"/>
    </row>
    <row r="556" spans="2:41" x14ac:dyDescent="0.15">
      <c r="D556" s="210"/>
      <c r="E556" s="211"/>
      <c r="F556" s="124"/>
      <c r="G556" s="128" t="s">
        <v>11</v>
      </c>
      <c r="H556" s="128" t="s">
        <v>12</v>
      </c>
      <c r="I556" s="39" t="s">
        <v>13</v>
      </c>
      <c r="J556" s="124"/>
      <c r="K556" s="128" t="s">
        <v>11</v>
      </c>
      <c r="L556" s="128" t="s">
        <v>12</v>
      </c>
      <c r="M556" s="128" t="s">
        <v>13</v>
      </c>
      <c r="N556" s="1"/>
      <c r="O556" s="1"/>
      <c r="P556" s="1"/>
      <c r="Q556" s="1"/>
      <c r="R556" s="1"/>
      <c r="S556" s="1"/>
      <c r="AF556" s="7"/>
      <c r="AN556" s="1"/>
    </row>
    <row r="557" spans="2:41" x14ac:dyDescent="0.15">
      <c r="D557" s="188" t="s">
        <v>106</v>
      </c>
      <c r="E557" s="189"/>
      <c r="F557" s="22">
        <f>G557+H557+I557</f>
        <v>235</v>
      </c>
      <c r="G557" s="23">
        <v>19</v>
      </c>
      <c r="H557" s="23">
        <v>63</v>
      </c>
      <c r="I557" s="24">
        <v>153</v>
      </c>
      <c r="J557" s="22">
        <f>K557+L557+M557</f>
        <v>171</v>
      </c>
      <c r="K557" s="23">
        <v>14</v>
      </c>
      <c r="L557" s="23">
        <v>43</v>
      </c>
      <c r="M557" s="23">
        <v>114</v>
      </c>
      <c r="N557" s="1"/>
      <c r="O557" s="1"/>
      <c r="P557" s="1"/>
      <c r="Q557" s="1"/>
      <c r="R557" s="1"/>
      <c r="S557" s="1"/>
      <c r="T557" s="1" t="s">
        <v>106</v>
      </c>
      <c r="U557" s="6">
        <v>235</v>
      </c>
      <c r="AF557" s="7"/>
      <c r="AN557" s="1"/>
    </row>
    <row r="558" spans="2:41" x14ac:dyDescent="0.15">
      <c r="D558" s="191"/>
      <c r="E558" s="192"/>
      <c r="F558" s="40">
        <f>ROUND(F557/(F$557+F$559+F$561+F$563),3)</f>
        <v>0.35299999999999998</v>
      </c>
      <c r="G558" s="41">
        <f>ROUND(G557/(G$557+G$559+G$561+G$563),3)</f>
        <v>0.317</v>
      </c>
      <c r="H558" s="41">
        <f t="shared" ref="H558:I558" si="591">ROUND(H557/(H$557+H$559+H$561+H$563),3)</f>
        <v>0.33900000000000002</v>
      </c>
      <c r="I558" s="42">
        <f t="shared" si="591"/>
        <v>0.36499999999999999</v>
      </c>
      <c r="J558" s="40">
        <f>ROUND(J557/(J$557+J$559+J$561+J$563),3)</f>
        <v>0.245</v>
      </c>
      <c r="K558" s="41">
        <f>ROUND(K557/(K$557+K$559+K$561+K$563),3)-0.001</f>
        <v>0.186</v>
      </c>
      <c r="L558" s="41">
        <f t="shared" ref="L558:M558" si="592">ROUND(L557/(L$557+L$559+L$561+L$563),3)</f>
        <v>0.2</v>
      </c>
      <c r="M558" s="41">
        <f t="shared" si="592"/>
        <v>0.27900000000000003</v>
      </c>
      <c r="N558" s="1"/>
      <c r="O558" s="1"/>
      <c r="P558" s="1"/>
      <c r="Q558" s="1"/>
      <c r="R558" s="1"/>
      <c r="S558" s="1"/>
      <c r="T558" s="1" t="s">
        <v>107</v>
      </c>
      <c r="U558" s="6">
        <v>329</v>
      </c>
      <c r="AF558" s="7"/>
      <c r="AN558" s="1"/>
    </row>
    <row r="559" spans="2:41" x14ac:dyDescent="0.15">
      <c r="D559" s="209" t="s">
        <v>107</v>
      </c>
      <c r="E559" s="189"/>
      <c r="F559" s="22">
        <f>G559+H559+I559</f>
        <v>329</v>
      </c>
      <c r="G559" s="23">
        <v>29</v>
      </c>
      <c r="H559" s="23">
        <v>93</v>
      </c>
      <c r="I559" s="24">
        <v>207</v>
      </c>
      <c r="J559" s="22">
        <f>K559+L559+M559</f>
        <v>391</v>
      </c>
      <c r="K559" s="23">
        <v>48</v>
      </c>
      <c r="L559" s="23">
        <v>127</v>
      </c>
      <c r="M559" s="23">
        <v>216</v>
      </c>
      <c r="N559" s="1"/>
      <c r="O559" s="1"/>
      <c r="P559" s="1"/>
      <c r="Q559" s="1"/>
      <c r="R559" s="1"/>
      <c r="S559" s="1"/>
      <c r="T559" s="1" t="s">
        <v>108</v>
      </c>
      <c r="U559" s="6">
        <v>63</v>
      </c>
      <c r="AF559" s="7"/>
      <c r="AN559" s="1"/>
    </row>
    <row r="560" spans="2:41" x14ac:dyDescent="0.15">
      <c r="D560" s="191"/>
      <c r="E560" s="192"/>
      <c r="F560" s="40">
        <f>ROUND(F559/(F$557+F$559+F$561+F$563),3)</f>
        <v>0.495</v>
      </c>
      <c r="G560" s="41">
        <f t="shared" ref="G560" si="593">ROUND(G559/(G$557+G$559+G$561+G$563),3)</f>
        <v>0.48299999999999998</v>
      </c>
      <c r="H560" s="41">
        <f t="shared" ref="H560" si="594">ROUND(H559/(H$557+H$559+H$561+H$563),3)</f>
        <v>0.5</v>
      </c>
      <c r="I560" s="42">
        <f t="shared" ref="I560" si="595">ROUND(I559/(I$557+I$559+I$561+I$563),3)</f>
        <v>0.49399999999999999</v>
      </c>
      <c r="J560" s="40">
        <f>ROUND(J559/(J$557+J$559+J$561+J$563),3)</f>
        <v>0.55900000000000005</v>
      </c>
      <c r="K560" s="41">
        <f t="shared" ref="K560:M560" si="596">ROUND(K559/(K$557+K$559+K$561+K$563),3)</f>
        <v>0.64</v>
      </c>
      <c r="L560" s="41">
        <f t="shared" si="596"/>
        <v>0.59099999999999997</v>
      </c>
      <c r="M560" s="41">
        <f t="shared" si="596"/>
        <v>0.52800000000000002</v>
      </c>
      <c r="N560" s="1"/>
      <c r="O560" s="1"/>
      <c r="P560" s="1"/>
      <c r="Q560" s="1"/>
      <c r="R560" s="1"/>
      <c r="S560" s="1"/>
      <c r="T560" s="1" t="s">
        <v>109</v>
      </c>
      <c r="U560" s="6">
        <v>38</v>
      </c>
      <c r="AF560" s="7"/>
      <c r="AN560" s="1"/>
    </row>
    <row r="561" spans="2:41" x14ac:dyDescent="0.15">
      <c r="D561" s="209" t="s">
        <v>108</v>
      </c>
      <c r="E561" s="189"/>
      <c r="F561" s="22">
        <f>G561+H561+I561</f>
        <v>63</v>
      </c>
      <c r="G561" s="23">
        <v>4</v>
      </c>
      <c r="H561" s="23">
        <v>20</v>
      </c>
      <c r="I561" s="24">
        <v>39</v>
      </c>
      <c r="J561" s="22">
        <f>K561+L561+M561</f>
        <v>99</v>
      </c>
      <c r="K561" s="23">
        <v>11</v>
      </c>
      <c r="L561" s="23">
        <v>29</v>
      </c>
      <c r="M561" s="23">
        <v>59</v>
      </c>
      <c r="N561" s="1"/>
      <c r="O561" s="1"/>
      <c r="P561" s="1"/>
      <c r="Q561" s="1"/>
      <c r="R561" s="1"/>
      <c r="S561" s="1"/>
      <c r="AF561" s="7"/>
      <c r="AN561" s="1"/>
    </row>
    <row r="562" spans="2:41" x14ac:dyDescent="0.15">
      <c r="D562" s="191"/>
      <c r="E562" s="192"/>
      <c r="F562" s="40">
        <f>ROUND(F561/(F$557+F$559+F$561+F$563),3)</f>
        <v>9.5000000000000001E-2</v>
      </c>
      <c r="G562" s="41">
        <f t="shared" ref="G562" si="597">ROUND(G561/(G$557+G$559+G$561+G$563),3)</f>
        <v>6.7000000000000004E-2</v>
      </c>
      <c r="H562" s="41">
        <f t="shared" ref="H562" si="598">ROUND(H561/(H$557+H$559+H$561+H$563),3)</f>
        <v>0.108</v>
      </c>
      <c r="I562" s="42">
        <f t="shared" ref="I562" si="599">ROUND(I561/(I$557+I$559+I$561+I$563),3)</f>
        <v>9.2999999999999999E-2</v>
      </c>
      <c r="J562" s="40">
        <f>ROUND(J561/(J$557+J$559+J$561+J$563),3)</f>
        <v>0.14199999999999999</v>
      </c>
      <c r="K562" s="41">
        <f t="shared" ref="K562:M562" si="600">ROUND(K561/(K$557+K$559+K$561+K$563),3)</f>
        <v>0.14699999999999999</v>
      </c>
      <c r="L562" s="41">
        <f t="shared" si="600"/>
        <v>0.13500000000000001</v>
      </c>
      <c r="M562" s="41">
        <f t="shared" si="600"/>
        <v>0.14399999999999999</v>
      </c>
      <c r="N562" s="1"/>
      <c r="O562" s="1"/>
      <c r="P562" s="1"/>
      <c r="Q562" s="1"/>
      <c r="R562" s="1"/>
      <c r="S562" s="1"/>
      <c r="AF562" s="7"/>
      <c r="AN562" s="1"/>
    </row>
    <row r="563" spans="2:41" x14ac:dyDescent="0.15">
      <c r="D563" s="188" t="s">
        <v>109</v>
      </c>
      <c r="E563" s="189"/>
      <c r="F563" s="22">
        <f>G563+H563+I563</f>
        <v>38</v>
      </c>
      <c r="G563" s="23">
        <v>8</v>
      </c>
      <c r="H563" s="23">
        <v>10</v>
      </c>
      <c r="I563" s="24">
        <v>20</v>
      </c>
      <c r="J563" s="22">
        <f>K563+L563+M563</f>
        <v>38</v>
      </c>
      <c r="K563" s="23">
        <v>2</v>
      </c>
      <c r="L563" s="23">
        <v>16</v>
      </c>
      <c r="M563" s="23">
        <v>20</v>
      </c>
      <c r="N563" s="1"/>
      <c r="O563" s="1"/>
      <c r="P563" s="1"/>
      <c r="Q563" s="1"/>
      <c r="R563" s="1"/>
      <c r="S563" s="1"/>
      <c r="AF563" s="7"/>
      <c r="AN563" s="1"/>
    </row>
    <row r="564" spans="2:41" x14ac:dyDescent="0.15">
      <c r="D564" s="191"/>
      <c r="E564" s="192"/>
      <c r="F564" s="40">
        <f>ROUND(F563/(F$557+F$559+F$561+F$563),3)</f>
        <v>5.7000000000000002E-2</v>
      </c>
      <c r="G564" s="41">
        <f t="shared" ref="G564" si="601">ROUND(G563/(G$557+G$559+G$561+G$563),3)</f>
        <v>0.13300000000000001</v>
      </c>
      <c r="H564" s="41">
        <f t="shared" ref="H564" si="602">ROUND(H563/(H$557+H$559+H$561+H$563),3)</f>
        <v>5.3999999999999999E-2</v>
      </c>
      <c r="I564" s="42">
        <f t="shared" ref="I564" si="603">ROUND(I563/(I$557+I$559+I$561+I$563),3)</f>
        <v>4.8000000000000001E-2</v>
      </c>
      <c r="J564" s="40">
        <f>ROUND(J563/(J$557+J$559+J$561+J$563),3)</f>
        <v>5.3999999999999999E-2</v>
      </c>
      <c r="K564" s="41">
        <f t="shared" ref="K564:M564" si="604">ROUND(K563/(K$557+K$559+K$561+K$563),3)</f>
        <v>2.7E-2</v>
      </c>
      <c r="L564" s="41">
        <f t="shared" si="604"/>
        <v>7.3999999999999996E-2</v>
      </c>
      <c r="M564" s="41">
        <f t="shared" si="604"/>
        <v>4.9000000000000002E-2</v>
      </c>
      <c r="N564" s="1"/>
      <c r="O564" s="1"/>
      <c r="P564" s="1"/>
      <c r="Q564" s="1"/>
      <c r="R564" s="1"/>
      <c r="S564" s="1"/>
      <c r="AF564" s="7"/>
      <c r="AN564" s="1"/>
    </row>
    <row r="565" spans="2:41" x14ac:dyDescent="0.15">
      <c r="D565" s="187" t="s">
        <v>20</v>
      </c>
      <c r="E565" s="194"/>
      <c r="F565" s="22">
        <f>F557+F559+F561+F563</f>
        <v>665</v>
      </c>
      <c r="G565" s="23">
        <f t="shared" ref="G565:I565" si="605">G557+G559+G561+G563</f>
        <v>60</v>
      </c>
      <c r="H565" s="23">
        <f t="shared" si="605"/>
        <v>186</v>
      </c>
      <c r="I565" s="24">
        <f t="shared" si="605"/>
        <v>419</v>
      </c>
      <c r="J565" s="22">
        <f>J557+J559+J561+J563</f>
        <v>699</v>
      </c>
      <c r="K565" s="23">
        <f t="shared" ref="K565:M565" si="606">K557+K559+K561+K563</f>
        <v>75</v>
      </c>
      <c r="L565" s="23">
        <f t="shared" si="606"/>
        <v>215</v>
      </c>
      <c r="M565" s="23">
        <f t="shared" si="606"/>
        <v>409</v>
      </c>
      <c r="N565" s="1"/>
      <c r="O565" s="1"/>
      <c r="P565" s="1"/>
      <c r="Q565" s="1"/>
      <c r="R565" s="1"/>
      <c r="S565" s="1"/>
      <c r="AF565" s="7"/>
      <c r="AN565" s="1"/>
    </row>
    <row r="566" spans="2:41" ht="14.25" thickBot="1" x14ac:dyDescent="0.2">
      <c r="D566" s="187"/>
      <c r="E566" s="194"/>
      <c r="F566" s="133">
        <f>F558+F560+F562+F564</f>
        <v>1</v>
      </c>
      <c r="G566" s="134">
        <f t="shared" ref="G566:I566" si="607">G558+G560+G562+G564</f>
        <v>1</v>
      </c>
      <c r="H566" s="134">
        <f t="shared" si="607"/>
        <v>1.0009999999999999</v>
      </c>
      <c r="I566" s="135">
        <f t="shared" si="607"/>
        <v>1</v>
      </c>
      <c r="J566" s="137">
        <f>J558+J560+J562+J564</f>
        <v>1</v>
      </c>
      <c r="K566" s="136">
        <f t="shared" ref="K566:M566" si="608">K558+K560+K562+K564</f>
        <v>1</v>
      </c>
      <c r="L566" s="136">
        <f t="shared" si="608"/>
        <v>0.99999999999999989</v>
      </c>
      <c r="M566" s="136">
        <f t="shared" si="608"/>
        <v>1</v>
      </c>
      <c r="N566" s="1"/>
      <c r="O566" s="1"/>
      <c r="P566" s="1"/>
      <c r="Q566" s="1"/>
      <c r="R566" s="1"/>
      <c r="S566" s="1"/>
      <c r="AF566" s="7"/>
      <c r="AN566" s="1"/>
    </row>
    <row r="567" spans="2:41" x14ac:dyDescent="0.15">
      <c r="D567" s="82"/>
      <c r="E567" s="129"/>
      <c r="F567" s="129"/>
      <c r="G567" s="57"/>
      <c r="H567" s="57"/>
      <c r="I567" s="57"/>
      <c r="J567" s="129"/>
      <c r="K567" s="57"/>
      <c r="L567" s="57"/>
      <c r="M567" s="57"/>
      <c r="N567" s="57"/>
      <c r="O567" s="69"/>
      <c r="P567" s="57"/>
      <c r="Q567" s="57"/>
      <c r="R567" s="57"/>
      <c r="S567" s="57"/>
      <c r="T567" s="50"/>
      <c r="U567" s="12"/>
      <c r="V567" s="50"/>
      <c r="W567" s="34"/>
      <c r="X567" s="2"/>
      <c r="AN567" s="1"/>
      <c r="AO567" s="7"/>
    </row>
    <row r="568" spans="2:41" x14ac:dyDescent="0.15">
      <c r="D568" s="82"/>
      <c r="E568" s="129"/>
      <c r="F568" s="129"/>
      <c r="G568" s="57"/>
      <c r="H568" s="57"/>
      <c r="I568" s="57"/>
      <c r="J568" s="57"/>
      <c r="K568" s="57"/>
      <c r="L568" s="57"/>
      <c r="M568" s="57"/>
      <c r="N568" s="57"/>
      <c r="O568" s="69"/>
      <c r="P568" s="57"/>
      <c r="Q568" s="57"/>
      <c r="R568" s="57"/>
      <c r="S568" s="57"/>
      <c r="T568" s="50"/>
      <c r="U568" s="12"/>
      <c r="V568" s="50"/>
      <c r="W568" s="34"/>
      <c r="X568" s="2"/>
      <c r="AN568" s="1"/>
      <c r="AO568" s="7"/>
    </row>
    <row r="569" spans="2:41" x14ac:dyDescent="0.15">
      <c r="D569" s="82"/>
      <c r="E569" s="129"/>
      <c r="F569" s="129"/>
      <c r="G569" s="57"/>
      <c r="H569" s="57"/>
      <c r="I569" s="57"/>
      <c r="J569" s="57"/>
      <c r="K569" s="57"/>
      <c r="L569" s="57"/>
      <c r="M569" s="57"/>
      <c r="N569" s="57"/>
      <c r="O569" s="69"/>
      <c r="P569" s="57"/>
      <c r="Q569" s="57"/>
      <c r="R569" s="57"/>
      <c r="S569" s="57"/>
      <c r="T569" s="50"/>
      <c r="U569" s="12"/>
      <c r="V569" s="50"/>
      <c r="W569" s="34"/>
      <c r="X569" s="2"/>
      <c r="AN569" s="1"/>
      <c r="AO569" s="7"/>
    </row>
    <row r="570" spans="2:41" ht="12.75" customHeight="1" thickBot="1" x14ac:dyDescent="0.2">
      <c r="B570" s="3"/>
      <c r="C570" s="2" t="s">
        <v>140</v>
      </c>
      <c r="K570" s="5"/>
      <c r="O570" s="5"/>
    </row>
    <row r="571" spans="2:41" ht="12.75" customHeight="1" x14ac:dyDescent="0.15">
      <c r="D571" s="203"/>
      <c r="E571" s="197"/>
      <c r="F571" s="184" t="s">
        <v>266</v>
      </c>
      <c r="G571" s="185"/>
      <c r="H571" s="185"/>
      <c r="I571" s="186"/>
      <c r="J571" s="182" t="s">
        <v>60</v>
      </c>
      <c r="K571" s="187"/>
      <c r="L571" s="187"/>
      <c r="M571" s="187"/>
      <c r="N571" s="1"/>
      <c r="O571" s="1"/>
      <c r="P571" s="1"/>
      <c r="Q571" s="1"/>
      <c r="R571" s="1"/>
      <c r="S571" s="1"/>
      <c r="AF571" s="7"/>
      <c r="AN571" s="1"/>
    </row>
    <row r="572" spans="2:41" ht="12.75" customHeight="1" x14ac:dyDescent="0.15">
      <c r="D572" s="210"/>
      <c r="E572" s="211"/>
      <c r="F572" s="124"/>
      <c r="G572" s="128" t="s">
        <v>11</v>
      </c>
      <c r="H572" s="128" t="s">
        <v>12</v>
      </c>
      <c r="I572" s="39" t="s">
        <v>13</v>
      </c>
      <c r="J572" s="124"/>
      <c r="K572" s="128" t="s">
        <v>11</v>
      </c>
      <c r="L572" s="128" t="s">
        <v>12</v>
      </c>
      <c r="M572" s="128" t="s">
        <v>13</v>
      </c>
      <c r="N572" s="1"/>
      <c r="O572" s="1"/>
      <c r="P572" s="1"/>
      <c r="Q572" s="1"/>
      <c r="R572" s="1"/>
      <c r="S572" s="1"/>
      <c r="AF572" s="7"/>
      <c r="AN572" s="1"/>
    </row>
    <row r="573" spans="2:41" ht="12.75" customHeight="1" x14ac:dyDescent="0.15">
      <c r="D573" s="188" t="s">
        <v>106</v>
      </c>
      <c r="E573" s="189"/>
      <c r="F573" s="22">
        <f>G573+H573+I573</f>
        <v>211</v>
      </c>
      <c r="G573" s="23">
        <v>26</v>
      </c>
      <c r="H573" s="23">
        <v>47</v>
      </c>
      <c r="I573" s="24">
        <v>138</v>
      </c>
      <c r="J573" s="22">
        <f>K573+L573+M573</f>
        <v>156</v>
      </c>
      <c r="K573" s="23">
        <v>28</v>
      </c>
      <c r="L573" s="23">
        <v>28</v>
      </c>
      <c r="M573" s="23">
        <v>100</v>
      </c>
      <c r="N573" s="1"/>
      <c r="O573" s="1"/>
      <c r="P573" s="1"/>
      <c r="Q573" s="1"/>
      <c r="R573" s="1"/>
      <c r="S573" s="1"/>
      <c r="T573" s="1" t="s">
        <v>106</v>
      </c>
      <c r="U573" s="6">
        <v>211</v>
      </c>
      <c r="AF573" s="7"/>
      <c r="AN573" s="1"/>
    </row>
    <row r="574" spans="2:41" ht="12.75" customHeight="1" x14ac:dyDescent="0.15">
      <c r="D574" s="191"/>
      <c r="E574" s="192"/>
      <c r="F574" s="40">
        <f>ROUND(F573/(F$573+F$575+F$577+F$579),3)</f>
        <v>0.317</v>
      </c>
      <c r="G574" s="41">
        <f t="shared" ref="G574:I574" si="609">ROUND(G573/(G$573+G$575+G$577+G$579),3)</f>
        <v>0.433</v>
      </c>
      <c r="H574" s="41">
        <f t="shared" si="609"/>
        <v>0.253</v>
      </c>
      <c r="I574" s="42">
        <f t="shared" si="609"/>
        <v>0.32900000000000001</v>
      </c>
      <c r="J574" s="40">
        <f>ROUND(J573/(J$573+J$575+J$577+J$579),3)</f>
        <v>0.223</v>
      </c>
      <c r="K574" s="41">
        <f t="shared" ref="K574:M574" si="610">ROUND(K573/(K$573+K$575+K$577+K$579),3)</f>
        <v>0.378</v>
      </c>
      <c r="L574" s="41">
        <f t="shared" si="610"/>
        <v>0.13</v>
      </c>
      <c r="M574" s="41">
        <f t="shared" si="610"/>
        <v>0.24299999999999999</v>
      </c>
      <c r="N574" s="1"/>
      <c r="O574" s="1"/>
      <c r="P574" s="1"/>
      <c r="Q574" s="1"/>
      <c r="R574" s="1"/>
      <c r="S574" s="1"/>
      <c r="T574" s="1" t="s">
        <v>107</v>
      </c>
      <c r="U574" s="6">
        <v>313</v>
      </c>
      <c r="AF574" s="7"/>
      <c r="AN574" s="1"/>
    </row>
    <row r="575" spans="2:41" ht="12.75" customHeight="1" x14ac:dyDescent="0.15">
      <c r="D575" s="209" t="s">
        <v>107</v>
      </c>
      <c r="E575" s="189"/>
      <c r="F575" s="22">
        <f>G575+H575+I575</f>
        <v>313</v>
      </c>
      <c r="G575" s="23">
        <v>30</v>
      </c>
      <c r="H575" s="23">
        <v>84</v>
      </c>
      <c r="I575" s="24">
        <v>199</v>
      </c>
      <c r="J575" s="22">
        <f>K575+L575+M575</f>
        <v>361</v>
      </c>
      <c r="K575" s="23">
        <v>39</v>
      </c>
      <c r="L575" s="23">
        <v>111</v>
      </c>
      <c r="M575" s="23">
        <v>211</v>
      </c>
      <c r="N575" s="1"/>
      <c r="O575" s="1"/>
      <c r="P575" s="1"/>
      <c r="Q575" s="1"/>
      <c r="R575" s="1"/>
      <c r="S575" s="1"/>
      <c r="T575" s="1" t="s">
        <v>108</v>
      </c>
      <c r="U575" s="6">
        <v>115</v>
      </c>
      <c r="AF575" s="7"/>
      <c r="AN575" s="1"/>
    </row>
    <row r="576" spans="2:41" ht="12.75" customHeight="1" x14ac:dyDescent="0.15">
      <c r="D576" s="191"/>
      <c r="E576" s="192"/>
      <c r="F576" s="40">
        <f>ROUND(F575/(F$573+F$575+F$577+F$579),3)</f>
        <v>0.47</v>
      </c>
      <c r="G576" s="41">
        <f t="shared" ref="G576" si="611">ROUND(G575/(G$573+G$575+G$577+G$579),3)</f>
        <v>0.5</v>
      </c>
      <c r="H576" s="41">
        <f t="shared" ref="H576" si="612">ROUND(H575/(H$573+H$575+H$577+H$579),3)</f>
        <v>0.45200000000000001</v>
      </c>
      <c r="I576" s="42">
        <f>ROUND(I575/(I$573+I$575+I$577+I$579),3)+0.001</f>
        <v>0.47499999999999998</v>
      </c>
      <c r="J576" s="40">
        <f>ROUND(J575/(J$573+J$575+J$577+J$579),3)</f>
        <v>0.51600000000000001</v>
      </c>
      <c r="K576" s="41">
        <f t="shared" ref="K576:L576" si="613">ROUND(K575/(K$573+K$575+K$577+K$579),3)</f>
        <v>0.52700000000000002</v>
      </c>
      <c r="L576" s="41">
        <f t="shared" si="613"/>
        <v>0.51600000000000001</v>
      </c>
      <c r="M576" s="41">
        <f>ROUND(M575/(M$573+M$575+M$577+M$579),3)+0.001</f>
        <v>0.51400000000000001</v>
      </c>
      <c r="N576" s="1"/>
      <c r="O576" s="1"/>
      <c r="P576" s="1"/>
      <c r="Q576" s="1"/>
      <c r="R576" s="1"/>
      <c r="S576" s="1"/>
      <c r="T576" s="1" t="s">
        <v>109</v>
      </c>
      <c r="U576" s="6">
        <v>27</v>
      </c>
      <c r="AF576" s="7"/>
      <c r="AN576" s="1"/>
    </row>
    <row r="577" spans="2:41" ht="12.75" customHeight="1" x14ac:dyDescent="0.15">
      <c r="D577" s="209" t="s">
        <v>108</v>
      </c>
      <c r="E577" s="189"/>
      <c r="F577" s="22">
        <f>G577+H577+I577</f>
        <v>115</v>
      </c>
      <c r="G577" s="23">
        <v>3</v>
      </c>
      <c r="H577" s="23">
        <v>44</v>
      </c>
      <c r="I577" s="24">
        <v>68</v>
      </c>
      <c r="J577" s="22">
        <f>K577+L577+M577</f>
        <v>134</v>
      </c>
      <c r="K577" s="23">
        <v>5</v>
      </c>
      <c r="L577" s="23">
        <v>52</v>
      </c>
      <c r="M577" s="23">
        <v>77</v>
      </c>
      <c r="N577" s="1"/>
      <c r="O577" s="1"/>
      <c r="P577" s="1"/>
      <c r="Q577" s="1"/>
      <c r="R577" s="1"/>
      <c r="S577" s="1"/>
      <c r="AF577" s="7"/>
      <c r="AN577" s="1"/>
    </row>
    <row r="578" spans="2:41" ht="12.75" customHeight="1" x14ac:dyDescent="0.15">
      <c r="D578" s="191"/>
      <c r="E578" s="192"/>
      <c r="F578" s="40">
        <f>ROUND(F577/(F$573+F$575+F$577+F$579),3)</f>
        <v>0.17299999999999999</v>
      </c>
      <c r="G578" s="41">
        <f t="shared" ref="G578" si="614">ROUND(G577/(G$573+G$575+G$577+G$579),3)</f>
        <v>0.05</v>
      </c>
      <c r="H578" s="41">
        <f t="shared" ref="H578" si="615">ROUND(H577/(H$573+H$575+H$577+H$579),3)</f>
        <v>0.23699999999999999</v>
      </c>
      <c r="I578" s="42">
        <f t="shared" ref="I578" si="616">ROUND(I577/(I$573+I$575+I$577+I$579),3)</f>
        <v>0.16200000000000001</v>
      </c>
      <c r="J578" s="40">
        <f>ROUND(J577/(J$573+J$575+J$577+J$579),3)</f>
        <v>0.191</v>
      </c>
      <c r="K578" s="41">
        <f t="shared" ref="K578:M578" si="617">ROUND(K577/(K$573+K$575+K$577+K$579),3)</f>
        <v>6.8000000000000005E-2</v>
      </c>
      <c r="L578" s="41">
        <f t="shared" si="617"/>
        <v>0.24199999999999999</v>
      </c>
      <c r="M578" s="41">
        <f t="shared" si="617"/>
        <v>0.187</v>
      </c>
      <c r="N578" s="1"/>
      <c r="O578" s="1"/>
      <c r="P578" s="1"/>
      <c r="Q578" s="1"/>
      <c r="R578" s="1"/>
      <c r="S578" s="1"/>
      <c r="AF578" s="7"/>
      <c r="AN578" s="1"/>
    </row>
    <row r="579" spans="2:41" ht="12.75" customHeight="1" x14ac:dyDescent="0.15">
      <c r="D579" s="188" t="s">
        <v>109</v>
      </c>
      <c r="E579" s="189"/>
      <c r="F579" s="22">
        <f>G579+H579+I579</f>
        <v>27</v>
      </c>
      <c r="G579" s="23">
        <v>1</v>
      </c>
      <c r="H579" s="23">
        <v>11</v>
      </c>
      <c r="I579" s="24">
        <v>15</v>
      </c>
      <c r="J579" s="22">
        <f>K579+L579+M579</f>
        <v>49</v>
      </c>
      <c r="K579" s="23">
        <v>2</v>
      </c>
      <c r="L579" s="23">
        <v>24</v>
      </c>
      <c r="M579" s="23">
        <v>23</v>
      </c>
      <c r="N579" s="1"/>
      <c r="O579" s="1"/>
      <c r="P579" s="1"/>
      <c r="Q579" s="1"/>
      <c r="R579" s="1"/>
      <c r="S579" s="1"/>
      <c r="AF579" s="7"/>
      <c r="AN579" s="1"/>
    </row>
    <row r="580" spans="2:41" ht="12.75" customHeight="1" x14ac:dyDescent="0.15">
      <c r="D580" s="191"/>
      <c r="E580" s="192"/>
      <c r="F580" s="40">
        <f>ROUND(F579/(F$573+F$575+F$577+F$579),3)</f>
        <v>4.1000000000000002E-2</v>
      </c>
      <c r="G580" s="41">
        <f t="shared" ref="G580" si="618">ROUND(G579/(G$573+G$575+G$577+G$579),3)</f>
        <v>1.7000000000000001E-2</v>
      </c>
      <c r="H580" s="41">
        <f t="shared" ref="H580" si="619">ROUND(H579/(H$573+H$575+H$577+H$579),3)</f>
        <v>5.8999999999999997E-2</v>
      </c>
      <c r="I580" s="42">
        <f t="shared" ref="I580" si="620">ROUND(I579/(I$573+I$575+I$577+I$579),3)</f>
        <v>3.5999999999999997E-2</v>
      </c>
      <c r="J580" s="40">
        <f>ROUND(J579/(J$573+J$575+J$577+J$579),3)</f>
        <v>7.0000000000000007E-2</v>
      </c>
      <c r="K580" s="41">
        <f t="shared" ref="K580:M580" si="621">ROUND(K579/(K$573+K$575+K$577+K$579),3)</f>
        <v>2.7E-2</v>
      </c>
      <c r="L580" s="41">
        <f t="shared" si="621"/>
        <v>0.112</v>
      </c>
      <c r="M580" s="41">
        <f t="shared" si="621"/>
        <v>5.6000000000000001E-2</v>
      </c>
      <c r="N580" s="1"/>
      <c r="O580" s="1"/>
      <c r="P580" s="1"/>
      <c r="Q580" s="1"/>
      <c r="R580" s="1"/>
      <c r="S580" s="1"/>
      <c r="AF580" s="7"/>
      <c r="AN580" s="1"/>
    </row>
    <row r="581" spans="2:41" ht="12.75" customHeight="1" x14ac:dyDescent="0.15">
      <c r="D581" s="187" t="s">
        <v>20</v>
      </c>
      <c r="E581" s="194"/>
      <c r="F581" s="22">
        <f>F573+F575+F577+F579</f>
        <v>666</v>
      </c>
      <c r="G581" s="23">
        <f t="shared" ref="G581:I581" si="622">G573+G575+G577+G579</f>
        <v>60</v>
      </c>
      <c r="H581" s="23">
        <f t="shared" si="622"/>
        <v>186</v>
      </c>
      <c r="I581" s="24">
        <f t="shared" si="622"/>
        <v>420</v>
      </c>
      <c r="J581" s="22">
        <f>J573+J575+J577+J579</f>
        <v>700</v>
      </c>
      <c r="K581" s="23">
        <f t="shared" ref="K581:M581" si="623">K573+K575+K577+K579</f>
        <v>74</v>
      </c>
      <c r="L581" s="23">
        <f t="shared" si="623"/>
        <v>215</v>
      </c>
      <c r="M581" s="23">
        <f t="shared" si="623"/>
        <v>411</v>
      </c>
      <c r="N581" s="1"/>
      <c r="O581" s="1"/>
      <c r="P581" s="1"/>
      <c r="Q581" s="1"/>
      <c r="R581" s="1"/>
      <c r="S581" s="1"/>
      <c r="AF581" s="7"/>
      <c r="AN581" s="1"/>
    </row>
    <row r="582" spans="2:41" ht="12.75" customHeight="1" thickBot="1" x14ac:dyDescent="0.2">
      <c r="D582" s="187"/>
      <c r="E582" s="194"/>
      <c r="F582" s="133">
        <f>F574+F576+F578+F580</f>
        <v>1.0009999999999999</v>
      </c>
      <c r="G582" s="134">
        <f t="shared" ref="G582:I582" si="624">G574+G576+G578+G580</f>
        <v>1</v>
      </c>
      <c r="H582" s="134">
        <f t="shared" si="624"/>
        <v>1.0010000000000001</v>
      </c>
      <c r="I582" s="135">
        <f t="shared" si="624"/>
        <v>1.002</v>
      </c>
      <c r="J582" s="137">
        <f>J574+J576+J578+J580</f>
        <v>1</v>
      </c>
      <c r="K582" s="136">
        <f t="shared" ref="K582:M582" si="625">K574+K576+K578+K580</f>
        <v>1</v>
      </c>
      <c r="L582" s="136">
        <f t="shared" si="625"/>
        <v>1</v>
      </c>
      <c r="M582" s="136">
        <f t="shared" si="625"/>
        <v>1</v>
      </c>
      <c r="N582" s="1"/>
      <c r="O582" s="1"/>
      <c r="P582" s="1"/>
      <c r="Q582" s="1"/>
      <c r="R582" s="1"/>
      <c r="S582" s="1"/>
      <c r="AF582" s="7"/>
      <c r="AN582" s="1"/>
    </row>
    <row r="583" spans="2:41" ht="12.75" customHeight="1" x14ac:dyDescent="0.15">
      <c r="D583" s="82"/>
      <c r="E583" s="129"/>
      <c r="F583" s="129"/>
      <c r="G583" s="57"/>
      <c r="H583" s="57"/>
      <c r="I583" s="57"/>
      <c r="J583" s="57"/>
      <c r="K583" s="57"/>
      <c r="L583" s="57"/>
      <c r="M583" s="57"/>
      <c r="N583" s="57"/>
      <c r="O583" s="69"/>
      <c r="P583" s="57"/>
      <c r="Q583" s="57"/>
      <c r="R583" s="57"/>
      <c r="S583" s="57"/>
      <c r="T583" s="50"/>
      <c r="U583" s="12"/>
      <c r="V583" s="50"/>
      <c r="W583" s="34"/>
      <c r="X583" s="2"/>
      <c r="AN583" s="1"/>
      <c r="AO583" s="7"/>
    </row>
    <row r="584" spans="2:41" ht="9.75" customHeight="1" x14ac:dyDescent="0.15">
      <c r="D584" s="82"/>
      <c r="E584" s="129"/>
      <c r="F584" s="129"/>
      <c r="G584" s="57"/>
      <c r="H584" s="57"/>
      <c r="I584" s="57"/>
      <c r="J584" s="57"/>
      <c r="K584" s="57"/>
      <c r="L584" s="57"/>
      <c r="M584" s="57"/>
      <c r="N584" s="57"/>
      <c r="O584" s="69"/>
      <c r="P584" s="57"/>
      <c r="Q584" s="57"/>
      <c r="R584" s="57"/>
      <c r="S584" s="57"/>
      <c r="T584" s="50"/>
      <c r="U584" s="12"/>
      <c r="V584" s="50"/>
      <c r="W584" s="34"/>
      <c r="X584" s="2"/>
      <c r="AN584" s="1"/>
      <c r="AO584" s="7"/>
    </row>
    <row r="585" spans="2:41" ht="9.75" customHeight="1" x14ac:dyDescent="0.15">
      <c r="D585" s="82"/>
      <c r="E585" s="129"/>
      <c r="F585" s="129"/>
      <c r="G585" s="57"/>
      <c r="H585" s="57"/>
      <c r="I585" s="57"/>
      <c r="J585" s="57"/>
      <c r="K585" s="57"/>
      <c r="L585" s="57"/>
      <c r="M585" s="57"/>
      <c r="N585" s="57"/>
      <c r="O585" s="69"/>
      <c r="P585" s="57"/>
      <c r="Q585" s="57"/>
      <c r="R585" s="57"/>
      <c r="S585" s="57"/>
      <c r="T585" s="50"/>
      <c r="U585" s="12"/>
      <c r="V585" s="50"/>
      <c r="W585" s="34"/>
      <c r="X585" s="2"/>
      <c r="AN585" s="1"/>
      <c r="AO585" s="7"/>
    </row>
    <row r="586" spans="2:41" ht="12.75" customHeight="1" thickBot="1" x14ac:dyDescent="0.2">
      <c r="B586" s="3" t="s">
        <v>110</v>
      </c>
      <c r="K586" s="5"/>
      <c r="O586" s="5"/>
      <c r="X586" s="151"/>
      <c r="Y586" s="151"/>
      <c r="Z586" s="151"/>
      <c r="AA586" s="151"/>
      <c r="AB586" s="151"/>
      <c r="AC586" s="151"/>
      <c r="AD586" s="151"/>
      <c r="AE586" s="151"/>
      <c r="AF586" s="151"/>
      <c r="AG586" s="151"/>
    </row>
    <row r="587" spans="2:41" ht="12.75" customHeight="1" x14ac:dyDescent="0.15">
      <c r="D587" s="203"/>
      <c r="E587" s="197"/>
      <c r="F587" s="184" t="s">
        <v>182</v>
      </c>
      <c r="G587" s="212"/>
      <c r="H587" s="212"/>
      <c r="I587" s="213"/>
      <c r="J587" s="214" t="s">
        <v>183</v>
      </c>
      <c r="K587" s="215"/>
      <c r="L587" s="215"/>
      <c r="M587" s="216"/>
      <c r="N587" s="1"/>
      <c r="O587" s="1"/>
      <c r="P587" s="1"/>
      <c r="Q587" s="1"/>
      <c r="R587" s="1"/>
      <c r="S587" s="1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N587" s="1"/>
    </row>
    <row r="588" spans="2:41" ht="12.75" customHeight="1" x14ac:dyDescent="0.15">
      <c r="D588" s="210"/>
      <c r="E588" s="211"/>
      <c r="F588" s="124" t="s">
        <v>267</v>
      </c>
      <c r="G588" s="128" t="s">
        <v>11</v>
      </c>
      <c r="H588" s="128" t="s">
        <v>12</v>
      </c>
      <c r="I588" s="39" t="s">
        <v>13</v>
      </c>
      <c r="J588" s="124" t="s">
        <v>268</v>
      </c>
      <c r="K588" s="128" t="s">
        <v>11</v>
      </c>
      <c r="L588" s="128" t="s">
        <v>12</v>
      </c>
      <c r="M588" s="39" t="s">
        <v>13</v>
      </c>
      <c r="N588" s="1"/>
      <c r="O588" s="1"/>
      <c r="P588" s="1"/>
      <c r="Q588" s="1"/>
      <c r="R588" s="1"/>
      <c r="S588" s="1"/>
      <c r="X588" s="36"/>
      <c r="Y588" s="36"/>
      <c r="Z588" s="173"/>
      <c r="AA588" s="172"/>
      <c r="AB588" s="172"/>
      <c r="AC588" s="172"/>
      <c r="AD588" s="173"/>
      <c r="AE588" s="172"/>
      <c r="AF588" s="172"/>
      <c r="AG588" s="172"/>
      <c r="AN588" s="1"/>
    </row>
    <row r="589" spans="2:41" ht="12.75" customHeight="1" x14ac:dyDescent="0.15">
      <c r="D589" s="188" t="s">
        <v>111</v>
      </c>
      <c r="E589" s="189"/>
      <c r="F589" s="22">
        <f>G589+H589+I589</f>
        <v>151</v>
      </c>
      <c r="G589" s="23">
        <v>16</v>
      </c>
      <c r="H589" s="23">
        <v>40</v>
      </c>
      <c r="I589" s="24">
        <v>95</v>
      </c>
      <c r="J589" s="22">
        <f>K589+L589+M589</f>
        <v>62</v>
      </c>
      <c r="K589" s="23">
        <v>3</v>
      </c>
      <c r="L589" s="23">
        <v>19</v>
      </c>
      <c r="M589" s="24">
        <v>40</v>
      </c>
      <c r="N589" s="1"/>
      <c r="O589" s="1"/>
      <c r="P589" s="1"/>
      <c r="Q589" s="1"/>
      <c r="R589" s="1"/>
      <c r="S589" s="1"/>
      <c r="T589" s="1" t="s">
        <v>111</v>
      </c>
      <c r="U589" s="6">
        <v>151</v>
      </c>
      <c r="X589" s="36"/>
      <c r="Y589" s="36"/>
      <c r="Z589" s="99"/>
      <c r="AA589" s="99"/>
      <c r="AB589" s="99"/>
      <c r="AC589" s="99"/>
      <c r="AD589" s="99"/>
      <c r="AE589" s="99"/>
      <c r="AF589" s="99"/>
      <c r="AG589" s="99"/>
      <c r="AN589" s="1"/>
    </row>
    <row r="590" spans="2:41" ht="12.75" customHeight="1" x14ac:dyDescent="0.15">
      <c r="D590" s="191"/>
      <c r="E590" s="192"/>
      <c r="F590" s="40">
        <f>ROUND(F589/(F$589+F$591+F$593+F$595),3)</f>
        <v>0.28000000000000003</v>
      </c>
      <c r="G590" s="41">
        <f t="shared" ref="G590:I590" si="626">ROUND(G589/(G$589+G$591+G$593+G$595),3)</f>
        <v>0.32700000000000001</v>
      </c>
      <c r="H590" s="41">
        <f t="shared" si="626"/>
        <v>0.28000000000000003</v>
      </c>
      <c r="I590" s="42">
        <f t="shared" si="626"/>
        <v>0.27400000000000002</v>
      </c>
      <c r="J590" s="40">
        <f t="shared" ref="J590" si="627">ROUND(J589/(J$589+J$591+J$593+J$595),3)</f>
        <v>0.50800000000000001</v>
      </c>
      <c r="K590" s="41">
        <f t="shared" ref="K590" si="628">ROUND(K589/(K$589+K$591+K$593+K$595),3)</f>
        <v>0.25</v>
      </c>
      <c r="L590" s="41">
        <f t="shared" ref="L590" si="629">ROUND(L589/(L$589+L$591+L$593+L$595),3)</f>
        <v>0.5</v>
      </c>
      <c r="M590" s="42">
        <f t="shared" ref="M590" si="630">ROUND(M589/(M$589+M$591+M$593+M$595),3)</f>
        <v>0.55600000000000005</v>
      </c>
      <c r="N590" s="1"/>
      <c r="O590" s="1"/>
      <c r="P590" s="1"/>
      <c r="Q590" s="1"/>
      <c r="R590" s="1"/>
      <c r="S590" s="1"/>
      <c r="T590" s="1" t="s">
        <v>240</v>
      </c>
      <c r="U590" s="6">
        <v>244</v>
      </c>
      <c r="X590" s="36"/>
      <c r="Y590" s="36"/>
      <c r="Z590" s="57"/>
      <c r="AA590" s="57"/>
      <c r="AB590" s="57"/>
      <c r="AC590" s="57"/>
      <c r="AD590" s="57"/>
      <c r="AE590" s="57"/>
      <c r="AF590" s="57"/>
      <c r="AG590" s="57"/>
      <c r="AN590" s="1"/>
    </row>
    <row r="591" spans="2:41" ht="12.75" customHeight="1" x14ac:dyDescent="0.15">
      <c r="D591" s="209" t="s">
        <v>248</v>
      </c>
      <c r="E591" s="189"/>
      <c r="F591" s="22">
        <f>G591+H591+I591</f>
        <v>244</v>
      </c>
      <c r="G591" s="23">
        <v>16</v>
      </c>
      <c r="H591" s="23">
        <v>77</v>
      </c>
      <c r="I591" s="24">
        <v>151</v>
      </c>
      <c r="J591" s="22">
        <f>K591+L591+M591</f>
        <v>25</v>
      </c>
      <c r="K591" s="23">
        <v>5</v>
      </c>
      <c r="L591" s="23">
        <v>7</v>
      </c>
      <c r="M591" s="24">
        <v>13</v>
      </c>
      <c r="N591" s="1"/>
      <c r="O591" s="1"/>
      <c r="P591" s="1"/>
      <c r="Q591" s="1"/>
      <c r="R591" s="1"/>
      <c r="S591" s="1"/>
      <c r="T591" s="1" t="s">
        <v>112</v>
      </c>
      <c r="U591" s="6">
        <v>87</v>
      </c>
      <c r="X591" s="279"/>
      <c r="Y591" s="36"/>
      <c r="Z591" s="99"/>
      <c r="AA591" s="99"/>
      <c r="AB591" s="99"/>
      <c r="AC591" s="99"/>
      <c r="AD591" s="99"/>
      <c r="AE591" s="99"/>
      <c r="AF591" s="99"/>
      <c r="AG591" s="99"/>
      <c r="AN591" s="1"/>
    </row>
    <row r="592" spans="2:41" ht="12.75" customHeight="1" x14ac:dyDescent="0.15">
      <c r="D592" s="191"/>
      <c r="E592" s="192"/>
      <c r="F592" s="40">
        <f>ROUND(F591/(F$589+F$591+F$593+F$595),3)</f>
        <v>0.45300000000000001</v>
      </c>
      <c r="G592" s="41">
        <f t="shared" ref="G592" si="631">ROUND(G591/(G$589+G$591+G$593+G$595),3)</f>
        <v>0.32700000000000001</v>
      </c>
      <c r="H592" s="41">
        <f t="shared" ref="H592" si="632">ROUND(H591/(H$589+H$591+H$593+H$595),3)</f>
        <v>0.53800000000000003</v>
      </c>
      <c r="I592" s="42">
        <f>ROUND(I591/(I$589+I$591+I$593+I$595),3)</f>
        <v>0.435</v>
      </c>
      <c r="J592" s="40">
        <f t="shared" ref="J592" si="633">ROUND(J591/(J$589+J$591+J$593+J$595),3)</f>
        <v>0.20499999999999999</v>
      </c>
      <c r="K592" s="41">
        <f t="shared" ref="K592" si="634">ROUND(K591/(K$589+K$591+K$593+K$595),3)</f>
        <v>0.41699999999999998</v>
      </c>
      <c r="L592" s="41">
        <f t="shared" ref="L592" si="635">ROUND(L591/(L$589+L$591+L$593+L$595),3)</f>
        <v>0.184</v>
      </c>
      <c r="M592" s="42">
        <f t="shared" ref="M592" si="636">ROUND(M591/(M$589+M$591+M$593+M$595),3)</f>
        <v>0.18099999999999999</v>
      </c>
      <c r="N592" s="1"/>
      <c r="O592" s="1"/>
      <c r="P592" s="1"/>
      <c r="Q592" s="1"/>
      <c r="R592" s="1"/>
      <c r="S592" s="1"/>
      <c r="T592" s="90" t="s">
        <v>217</v>
      </c>
      <c r="U592" s="6">
        <v>57</v>
      </c>
      <c r="X592" s="36"/>
      <c r="Y592" s="36"/>
      <c r="Z592" s="57"/>
      <c r="AA592" s="57"/>
      <c r="AB592" s="57"/>
      <c r="AC592" s="57"/>
      <c r="AD592" s="57"/>
      <c r="AE592" s="57"/>
      <c r="AF592" s="57"/>
      <c r="AG592" s="57"/>
      <c r="AN592" s="1"/>
    </row>
    <row r="593" spans="4:40" ht="12.75" customHeight="1" x14ac:dyDescent="0.15">
      <c r="D593" s="209" t="s">
        <v>112</v>
      </c>
      <c r="E593" s="189"/>
      <c r="F593" s="22">
        <f>G593+H593+I593</f>
        <v>87</v>
      </c>
      <c r="G593" s="23">
        <v>9</v>
      </c>
      <c r="H593" s="23">
        <v>15</v>
      </c>
      <c r="I593" s="24">
        <v>63</v>
      </c>
      <c r="J593" s="22">
        <f>K593+L593+M593</f>
        <v>18</v>
      </c>
      <c r="K593" s="23">
        <v>4</v>
      </c>
      <c r="L593" s="23">
        <v>3</v>
      </c>
      <c r="M593" s="24">
        <v>11</v>
      </c>
      <c r="N593" s="1"/>
      <c r="O593" s="1"/>
      <c r="P593" s="1"/>
      <c r="Q593" s="1"/>
      <c r="R593" s="1"/>
      <c r="S593" s="1"/>
      <c r="X593" s="279"/>
      <c r="Y593" s="36"/>
      <c r="Z593" s="99"/>
      <c r="AA593" s="99"/>
      <c r="AB593" s="99"/>
      <c r="AC593" s="99"/>
      <c r="AD593" s="99"/>
      <c r="AE593" s="99"/>
      <c r="AF593" s="99"/>
      <c r="AG593" s="99"/>
      <c r="AN593" s="1"/>
    </row>
    <row r="594" spans="4:40" ht="12.75" customHeight="1" x14ac:dyDescent="0.15">
      <c r="D594" s="191"/>
      <c r="E594" s="192"/>
      <c r="F594" s="40">
        <f>ROUND(F593/(F$589+F$591+F$593+F$595),3)</f>
        <v>0.161</v>
      </c>
      <c r="G594" s="41">
        <f t="shared" ref="G594" si="637">ROUND(G593/(G$589+G$591+G$593+G$595),3)</f>
        <v>0.184</v>
      </c>
      <c r="H594" s="41">
        <f t="shared" ref="H594" si="638">ROUND(H593/(H$589+H$591+H$593+H$595),3)</f>
        <v>0.105</v>
      </c>
      <c r="I594" s="42">
        <f t="shared" ref="I594" si="639">ROUND(I593/(I$589+I$591+I$593+I$595),3)</f>
        <v>0.182</v>
      </c>
      <c r="J594" s="40">
        <f t="shared" ref="J594" si="640">ROUND(J593/(J$589+J$591+J$593+J$595),3)</f>
        <v>0.14799999999999999</v>
      </c>
      <c r="K594" s="41">
        <f t="shared" ref="K594" si="641">ROUND(K593/(K$589+K$591+K$593+K$595),3)</f>
        <v>0.33300000000000002</v>
      </c>
      <c r="L594" s="41">
        <f>ROUND(L593/(L$589+L$591+L$593+L$595),3)</f>
        <v>7.9000000000000001E-2</v>
      </c>
      <c r="M594" s="42">
        <f>ROUND(M593/(M$589+M$591+M$593+M$595),3)</f>
        <v>0.153</v>
      </c>
      <c r="N594" s="1"/>
      <c r="O594" s="1"/>
      <c r="P594" s="1"/>
      <c r="Q594" s="1"/>
      <c r="R594" s="1"/>
      <c r="S594" s="1"/>
      <c r="X594" s="36"/>
      <c r="Y594" s="36"/>
      <c r="Z594" s="57"/>
      <c r="AA594" s="57"/>
      <c r="AB594" s="57"/>
      <c r="AC594" s="57"/>
      <c r="AD594" s="57"/>
      <c r="AE594" s="57"/>
      <c r="AF594" s="57"/>
      <c r="AG594" s="57"/>
      <c r="AN594" s="1"/>
    </row>
    <row r="595" spans="4:40" ht="12.75" customHeight="1" x14ac:dyDescent="0.15">
      <c r="D595" s="209" t="s">
        <v>247</v>
      </c>
      <c r="E595" s="189"/>
      <c r="F595" s="22">
        <f>G595+H595+I595</f>
        <v>57</v>
      </c>
      <c r="G595" s="23">
        <v>8</v>
      </c>
      <c r="H595" s="23">
        <v>11</v>
      </c>
      <c r="I595" s="24">
        <v>38</v>
      </c>
      <c r="J595" s="22">
        <f>K595+L595+M595</f>
        <v>17</v>
      </c>
      <c r="K595" s="23">
        <v>0</v>
      </c>
      <c r="L595" s="23">
        <v>9</v>
      </c>
      <c r="M595" s="24">
        <v>8</v>
      </c>
      <c r="N595" s="1"/>
      <c r="O595" s="1"/>
      <c r="P595" s="1"/>
      <c r="Q595" s="1"/>
      <c r="R595" s="1"/>
      <c r="S595" s="1"/>
      <c r="X595" s="279"/>
      <c r="Y595" s="36"/>
      <c r="Z595" s="99"/>
      <c r="AA595" s="99"/>
      <c r="AB595" s="99"/>
      <c r="AC595" s="99"/>
      <c r="AD595" s="99"/>
      <c r="AE595" s="99"/>
      <c r="AF595" s="99"/>
      <c r="AG595" s="99"/>
      <c r="AN595" s="1"/>
    </row>
    <row r="596" spans="4:40" ht="12.75" customHeight="1" x14ac:dyDescent="0.15">
      <c r="D596" s="191"/>
      <c r="E596" s="192"/>
      <c r="F596" s="40">
        <f>ROUND(F595/(F$589+F$591+F$593+F$595),3)</f>
        <v>0.106</v>
      </c>
      <c r="G596" s="41">
        <f t="shared" ref="G596" si="642">ROUND(G595/(G$589+G$591+G$593+G$595),3)</f>
        <v>0.16300000000000001</v>
      </c>
      <c r="H596" s="41">
        <f t="shared" ref="H596" si="643">ROUND(H595/(H$589+H$591+H$593+H$595),3)</f>
        <v>7.6999999999999999E-2</v>
      </c>
      <c r="I596" s="42">
        <f t="shared" ref="I596" si="644">ROUND(I595/(I$589+I$591+I$593+I$595),3)</f>
        <v>0.11</v>
      </c>
      <c r="J596" s="40">
        <f>ROUND(J595/(J$589+J$591+J$593+J$595),3)</f>
        <v>0.13900000000000001</v>
      </c>
      <c r="K596" s="41">
        <f t="shared" ref="K596" si="645">ROUND(K595/(K$589+K$591+K$593+K$595),3)</f>
        <v>0</v>
      </c>
      <c r="L596" s="41">
        <f t="shared" ref="L596" si="646">ROUND(L595/(L$589+L$591+L$593+L$595),3)</f>
        <v>0.23699999999999999</v>
      </c>
      <c r="M596" s="42">
        <f t="shared" ref="M596" si="647">ROUND(M595/(M$589+M$591+M$593+M$595),3)</f>
        <v>0.111</v>
      </c>
      <c r="N596" s="1"/>
      <c r="O596" s="1"/>
      <c r="P596" s="1"/>
      <c r="Q596" s="1"/>
      <c r="R596" s="1"/>
      <c r="S596" s="1"/>
      <c r="T596" s="1" t="s">
        <v>111</v>
      </c>
      <c r="U596" s="6">
        <v>62</v>
      </c>
      <c r="X596" s="36"/>
      <c r="Y596" s="36"/>
      <c r="Z596" s="57"/>
      <c r="AA596" s="57"/>
      <c r="AB596" s="57"/>
      <c r="AC596" s="57"/>
      <c r="AD596" s="57"/>
      <c r="AE596" s="57"/>
      <c r="AF596" s="57"/>
      <c r="AG596" s="57"/>
      <c r="AN596" s="1"/>
    </row>
    <row r="597" spans="4:40" ht="12.75" customHeight="1" x14ac:dyDescent="0.15">
      <c r="D597" s="187" t="s">
        <v>20</v>
      </c>
      <c r="E597" s="194"/>
      <c r="F597" s="22">
        <f>F589+F591+F593+F595</f>
        <v>539</v>
      </c>
      <c r="G597" s="23">
        <f t="shared" ref="G597:M597" si="648">G589+G591+G593+G595</f>
        <v>49</v>
      </c>
      <c r="H597" s="23">
        <f t="shared" si="648"/>
        <v>143</v>
      </c>
      <c r="I597" s="24">
        <f t="shared" si="648"/>
        <v>347</v>
      </c>
      <c r="J597" s="22">
        <f t="shared" si="648"/>
        <v>122</v>
      </c>
      <c r="K597" s="23">
        <f t="shared" si="648"/>
        <v>12</v>
      </c>
      <c r="L597" s="23">
        <f t="shared" si="648"/>
        <v>38</v>
      </c>
      <c r="M597" s="24">
        <f t="shared" si="648"/>
        <v>72</v>
      </c>
      <c r="N597" s="1"/>
      <c r="O597" s="1"/>
      <c r="P597" s="1"/>
      <c r="Q597" s="1"/>
      <c r="R597" s="1"/>
      <c r="S597" s="1"/>
      <c r="T597" s="1" t="s">
        <v>240</v>
      </c>
      <c r="U597" s="6">
        <v>25</v>
      </c>
      <c r="X597" s="36"/>
      <c r="Y597" s="36"/>
      <c r="Z597" s="99"/>
      <c r="AA597" s="99"/>
      <c r="AB597" s="99"/>
      <c r="AC597" s="99"/>
      <c r="AD597" s="99"/>
      <c r="AE597" s="99"/>
      <c r="AF597" s="99"/>
      <c r="AG597" s="99"/>
      <c r="AN597" s="1"/>
    </row>
    <row r="598" spans="4:40" ht="12.75" customHeight="1" thickBot="1" x14ac:dyDescent="0.2">
      <c r="D598" s="187"/>
      <c r="E598" s="194"/>
      <c r="F598" s="133">
        <f>F590+F592+F594+F596</f>
        <v>1.0000000000000002</v>
      </c>
      <c r="G598" s="134">
        <f t="shared" ref="G598:M598" si="649">G590+G592+G594+G596</f>
        <v>1.0010000000000001</v>
      </c>
      <c r="H598" s="134">
        <f t="shared" si="649"/>
        <v>1</v>
      </c>
      <c r="I598" s="135">
        <f t="shared" si="649"/>
        <v>1.0010000000000001</v>
      </c>
      <c r="J598" s="133">
        <f t="shared" si="649"/>
        <v>1</v>
      </c>
      <c r="K598" s="134">
        <f t="shared" si="649"/>
        <v>1</v>
      </c>
      <c r="L598" s="134">
        <f t="shared" si="649"/>
        <v>0.99999999999999989</v>
      </c>
      <c r="M598" s="135">
        <f t="shared" si="649"/>
        <v>1.0010000000000001</v>
      </c>
      <c r="N598" s="1"/>
      <c r="O598" s="1"/>
      <c r="P598" s="1"/>
      <c r="Q598" s="1"/>
      <c r="R598" s="1"/>
      <c r="S598" s="1"/>
      <c r="T598" s="1" t="s">
        <v>112</v>
      </c>
      <c r="U598" s="6">
        <v>18</v>
      </c>
      <c r="X598" s="36"/>
      <c r="Y598" s="36"/>
      <c r="Z598" s="57"/>
      <c r="AA598" s="57"/>
      <c r="AB598" s="57"/>
      <c r="AC598" s="57"/>
      <c r="AD598" s="57"/>
      <c r="AE598" s="57"/>
      <c r="AF598" s="57"/>
      <c r="AG598" s="57"/>
      <c r="AN598" s="1"/>
    </row>
    <row r="599" spans="4:40" ht="12.75" customHeight="1" x14ac:dyDescent="0.15">
      <c r="D599" s="82"/>
      <c r="E599" s="129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0"/>
      <c r="S599" s="50"/>
      <c r="T599" s="90" t="s">
        <v>217</v>
      </c>
      <c r="U599" s="97">
        <v>17</v>
      </c>
      <c r="V599" s="34"/>
      <c r="W599" s="2"/>
    </row>
    <row r="600" spans="4:40" ht="12.75" customHeight="1" x14ac:dyDescent="0.15">
      <c r="D600" s="82"/>
      <c r="E600" s="129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0"/>
      <c r="S600" s="50"/>
      <c r="T600" s="34"/>
      <c r="U600" s="35"/>
      <c r="V600" s="34"/>
      <c r="W600" s="2"/>
    </row>
    <row r="601" spans="4:40" ht="12.75" customHeight="1" x14ac:dyDescent="0.15">
      <c r="D601" s="82"/>
      <c r="E601" s="129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0"/>
      <c r="S601" s="50"/>
      <c r="T601" s="34"/>
      <c r="U601" s="35"/>
      <c r="V601" s="34"/>
      <c r="W601" s="2"/>
    </row>
    <row r="602" spans="4:40" ht="12.75" customHeight="1" x14ac:dyDescent="0.15">
      <c r="D602" s="82"/>
      <c r="E602" s="129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0"/>
      <c r="S602" s="50"/>
      <c r="T602" s="34"/>
      <c r="U602" s="35"/>
      <c r="V602" s="34"/>
      <c r="W602" s="2"/>
    </row>
    <row r="603" spans="4:40" ht="12.75" customHeight="1" x14ac:dyDescent="0.15">
      <c r="D603" s="82"/>
      <c r="E603" s="129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0"/>
      <c r="S603" s="50"/>
      <c r="T603" s="34"/>
      <c r="U603" s="35"/>
      <c r="V603" s="34"/>
      <c r="W603" s="2"/>
    </row>
    <row r="604" spans="4:40" ht="12.75" customHeight="1" x14ac:dyDescent="0.15">
      <c r="D604" s="82"/>
      <c r="E604" s="129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0"/>
      <c r="S604" s="50"/>
      <c r="T604" s="34"/>
      <c r="U604" s="35"/>
      <c r="V604" s="34"/>
      <c r="W604" s="2"/>
    </row>
    <row r="605" spans="4:40" ht="12.75" customHeight="1" x14ac:dyDescent="0.15">
      <c r="D605" s="82"/>
      <c r="E605" s="129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0"/>
      <c r="S605" s="50"/>
      <c r="T605" s="34"/>
      <c r="U605" s="35"/>
      <c r="V605" s="34"/>
      <c r="W605" s="2"/>
    </row>
    <row r="606" spans="4:40" ht="12.75" customHeight="1" x14ac:dyDescent="0.15">
      <c r="D606" s="82"/>
      <c r="E606" s="129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0"/>
      <c r="S606" s="50"/>
      <c r="T606" s="34"/>
      <c r="U606" s="35"/>
      <c r="V606" s="34"/>
      <c r="W606" s="2"/>
    </row>
    <row r="607" spans="4:40" ht="12.75" customHeight="1" x14ac:dyDescent="0.15">
      <c r="D607" s="82"/>
      <c r="E607" s="129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0"/>
      <c r="S607" s="50"/>
      <c r="T607" s="34"/>
      <c r="U607" s="35"/>
      <c r="V607" s="34"/>
      <c r="W607" s="2"/>
    </row>
    <row r="608" spans="4:40" ht="12.75" customHeight="1" x14ac:dyDescent="0.15">
      <c r="D608" s="82"/>
      <c r="E608" s="129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0"/>
      <c r="S608" s="50"/>
      <c r="T608" s="34"/>
      <c r="U608" s="35"/>
      <c r="V608" s="34"/>
      <c r="W608" s="2"/>
    </row>
    <row r="609" spans="1:40" ht="12.75" customHeight="1" x14ac:dyDescent="0.15">
      <c r="D609" s="82"/>
      <c r="E609" s="129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0"/>
      <c r="S609" s="50"/>
      <c r="T609" s="34"/>
      <c r="U609" s="35"/>
      <c r="V609" s="34"/>
      <c r="W609" s="2"/>
    </row>
    <row r="610" spans="1:40" ht="12.75" customHeight="1" x14ac:dyDescent="0.15">
      <c r="D610" s="82"/>
      <c r="E610" s="129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0"/>
      <c r="S610" s="50"/>
      <c r="T610" s="34"/>
      <c r="U610" s="35"/>
      <c r="V610" s="34"/>
      <c r="W610" s="2"/>
    </row>
    <row r="611" spans="1:40" ht="12.75" customHeight="1" x14ac:dyDescent="0.15">
      <c r="D611" s="82"/>
      <c r="E611" s="129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0"/>
      <c r="S611" s="50"/>
      <c r="T611" s="34"/>
      <c r="U611" s="35"/>
      <c r="V611" s="34"/>
      <c r="W611" s="2"/>
    </row>
    <row r="612" spans="1:40" ht="12.75" customHeight="1" x14ac:dyDescent="0.15">
      <c r="D612" s="82"/>
      <c r="E612" s="129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0"/>
      <c r="S612" s="50"/>
      <c r="T612" s="34"/>
      <c r="U612" s="35"/>
      <c r="V612" s="34"/>
      <c r="W612" s="2"/>
    </row>
    <row r="613" spans="1:40" ht="12.75" customHeight="1" x14ac:dyDescent="0.15">
      <c r="D613" s="82"/>
      <c r="E613" s="129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0"/>
      <c r="S613" s="50"/>
      <c r="T613" s="34"/>
      <c r="U613" s="35"/>
      <c r="V613" s="34"/>
      <c r="W613" s="2"/>
    </row>
    <row r="614" spans="1:40" ht="12.75" customHeight="1" x14ac:dyDescent="0.15">
      <c r="D614" s="82"/>
      <c r="E614" s="129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0"/>
      <c r="S614" s="50"/>
      <c r="T614" s="34"/>
      <c r="U614" s="35"/>
      <c r="V614" s="34"/>
      <c r="W614" s="2"/>
    </row>
    <row r="615" spans="1:40" ht="12.75" customHeight="1" x14ac:dyDescent="0.15">
      <c r="D615" s="82"/>
      <c r="E615" s="129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0"/>
      <c r="S615" s="50"/>
      <c r="T615" s="34"/>
      <c r="U615" s="35"/>
      <c r="V615" s="34"/>
      <c r="W615" s="2"/>
    </row>
    <row r="616" spans="1:40" ht="12.75" customHeight="1" x14ac:dyDescent="0.15">
      <c r="D616" s="82"/>
      <c r="E616" s="129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0"/>
      <c r="S616" s="50"/>
      <c r="T616" s="34"/>
      <c r="U616" s="35"/>
      <c r="V616" s="34"/>
      <c r="W616" s="2"/>
    </row>
    <row r="617" spans="1:40" ht="12.75" customHeight="1" x14ac:dyDescent="0.15">
      <c r="D617" s="82"/>
      <c r="E617" s="129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0"/>
      <c r="S617" s="50"/>
      <c r="T617" s="34"/>
      <c r="U617" s="35"/>
      <c r="V617" s="34"/>
      <c r="W617" s="2"/>
    </row>
    <row r="618" spans="1:40" ht="12.75" customHeight="1" x14ac:dyDescent="0.15">
      <c r="A618" s="195" t="s">
        <v>185</v>
      </c>
      <c r="B618" s="195"/>
      <c r="C618" s="195"/>
      <c r="D618" s="195"/>
      <c r="E618" s="195"/>
      <c r="F618" s="195"/>
      <c r="G618" s="195"/>
      <c r="H618" s="57"/>
      <c r="I618" s="57"/>
      <c r="J618" s="57"/>
      <c r="K618" s="57"/>
      <c r="L618" s="57"/>
      <c r="M618" s="57"/>
      <c r="N618" s="57"/>
      <c r="O618" s="57"/>
      <c r="P618" s="57"/>
      <c r="Q618" s="50"/>
      <c r="R618" s="34"/>
      <c r="S618" s="34"/>
      <c r="T618" s="2"/>
      <c r="U618" s="12"/>
      <c r="V618" s="2"/>
      <c r="AM618" s="7"/>
      <c r="AN618" s="1"/>
    </row>
    <row r="619" spans="1:40" ht="12.75" customHeight="1" x14ac:dyDescent="0.15">
      <c r="D619" s="82"/>
      <c r="E619" s="129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0"/>
      <c r="S619" s="50"/>
      <c r="T619" s="34"/>
      <c r="U619" s="35"/>
      <c r="V619" s="34"/>
      <c r="W619" s="2"/>
    </row>
    <row r="620" spans="1:40" ht="12.75" customHeight="1" thickBot="1" x14ac:dyDescent="0.2">
      <c r="B620" s="3" t="s">
        <v>158</v>
      </c>
      <c r="G620" s="85"/>
      <c r="K620" s="5"/>
      <c r="O620" s="5"/>
    </row>
    <row r="621" spans="1:40" ht="12.75" customHeight="1" x14ac:dyDescent="0.15">
      <c r="D621" s="203"/>
      <c r="E621" s="197"/>
      <c r="F621" s="184" t="s">
        <v>266</v>
      </c>
      <c r="G621" s="185"/>
      <c r="H621" s="185"/>
      <c r="I621" s="186"/>
      <c r="J621" s="182" t="s">
        <v>60</v>
      </c>
      <c r="K621" s="187"/>
      <c r="L621" s="187"/>
      <c r="M621" s="187"/>
      <c r="N621" s="1"/>
      <c r="O621" s="1"/>
      <c r="P621" s="1"/>
      <c r="Q621" s="1"/>
      <c r="R621" s="1"/>
      <c r="S621" s="1"/>
      <c r="AF621" s="7"/>
      <c r="AN621" s="1"/>
    </row>
    <row r="622" spans="1:40" ht="12.75" customHeight="1" x14ac:dyDescent="0.15">
      <c r="D622" s="210"/>
      <c r="E622" s="211"/>
      <c r="F622" s="124"/>
      <c r="G622" s="128" t="s">
        <v>11</v>
      </c>
      <c r="H622" s="128" t="s">
        <v>12</v>
      </c>
      <c r="I622" s="39" t="s">
        <v>13</v>
      </c>
      <c r="J622" s="124"/>
      <c r="K622" s="128" t="s">
        <v>11</v>
      </c>
      <c r="L622" s="128" t="s">
        <v>12</v>
      </c>
      <c r="M622" s="128" t="s">
        <v>13</v>
      </c>
      <c r="N622" s="1"/>
      <c r="O622" s="1"/>
      <c r="P622" s="1"/>
      <c r="Q622" s="1"/>
      <c r="R622" s="1"/>
      <c r="S622" s="1"/>
      <c r="AF622" s="7"/>
      <c r="AN622" s="1"/>
    </row>
    <row r="623" spans="1:40" ht="12.75" customHeight="1" x14ac:dyDescent="0.15">
      <c r="D623" s="188" t="s">
        <v>53</v>
      </c>
      <c r="E623" s="189"/>
      <c r="F623" s="22">
        <f>G623+H623+I623</f>
        <v>455</v>
      </c>
      <c r="G623" s="23">
        <v>54</v>
      </c>
      <c r="H623" s="23">
        <v>66</v>
      </c>
      <c r="I623" s="24">
        <v>335</v>
      </c>
      <c r="J623" s="22">
        <f>K623+L623+M623</f>
        <v>486</v>
      </c>
      <c r="K623" s="23">
        <v>68</v>
      </c>
      <c r="L623" s="23">
        <v>70</v>
      </c>
      <c r="M623" s="23">
        <v>348</v>
      </c>
      <c r="N623" s="1"/>
      <c r="O623" s="1"/>
      <c r="P623" s="1"/>
      <c r="Q623" s="1"/>
      <c r="R623" s="1"/>
      <c r="S623" s="1"/>
      <c r="T623" s="1" t="s">
        <v>218</v>
      </c>
      <c r="U623" s="6">
        <v>455</v>
      </c>
      <c r="AF623" s="7"/>
      <c r="AN623" s="1"/>
    </row>
    <row r="624" spans="1:40" ht="12.75" customHeight="1" x14ac:dyDescent="0.15">
      <c r="D624" s="191"/>
      <c r="E624" s="192"/>
      <c r="F624" s="40">
        <f>ROUND(F623/(F$623+F$625),3)</f>
        <v>0.68899999999999995</v>
      </c>
      <c r="G624" s="41">
        <f t="shared" ref="G624:I624" si="650">ROUND(G623/(G$623+G$625),3)</f>
        <v>0.91500000000000004</v>
      </c>
      <c r="H624" s="41">
        <f t="shared" si="650"/>
        <v>0.35899999999999999</v>
      </c>
      <c r="I624" s="42">
        <f t="shared" si="650"/>
        <v>0.80300000000000005</v>
      </c>
      <c r="J624" s="40">
        <f>ROUND(J623/(J$623+J$625),3)</f>
        <v>0.69599999999999995</v>
      </c>
      <c r="K624" s="41">
        <f t="shared" ref="K624:M624" si="651">ROUND(K623/(K$623+K$625),3)</f>
        <v>0.93200000000000005</v>
      </c>
      <c r="L624" s="41">
        <f t="shared" si="651"/>
        <v>0.32400000000000001</v>
      </c>
      <c r="M624" s="41">
        <f t="shared" si="651"/>
        <v>0.85099999999999998</v>
      </c>
      <c r="N624" s="1"/>
      <c r="O624" s="1"/>
      <c r="P624" s="1"/>
      <c r="Q624" s="1"/>
      <c r="R624" s="1"/>
      <c r="S624" s="1"/>
      <c r="T624" s="1" t="s">
        <v>219</v>
      </c>
      <c r="U624" s="6">
        <v>205</v>
      </c>
      <c r="AF624" s="7"/>
      <c r="AN624" s="1"/>
    </row>
    <row r="625" spans="2:40" ht="12.75" customHeight="1" x14ac:dyDescent="0.15">
      <c r="D625" s="188" t="s">
        <v>54</v>
      </c>
      <c r="E625" s="189"/>
      <c r="F625" s="22">
        <f>G625+H625+I625</f>
        <v>205</v>
      </c>
      <c r="G625" s="23">
        <v>5</v>
      </c>
      <c r="H625" s="23">
        <v>118</v>
      </c>
      <c r="I625" s="24">
        <v>82</v>
      </c>
      <c r="J625" s="22">
        <f>K625+L625+M625</f>
        <v>212</v>
      </c>
      <c r="K625" s="23">
        <v>5</v>
      </c>
      <c r="L625" s="23">
        <v>146</v>
      </c>
      <c r="M625" s="23">
        <v>61</v>
      </c>
      <c r="N625" s="1"/>
      <c r="O625" s="1"/>
      <c r="P625" s="1"/>
      <c r="Q625" s="1"/>
      <c r="R625" s="1"/>
      <c r="S625" s="1"/>
      <c r="AF625" s="7"/>
      <c r="AN625" s="1"/>
    </row>
    <row r="626" spans="2:40" ht="12.75" customHeight="1" x14ac:dyDescent="0.15">
      <c r="D626" s="191"/>
      <c r="E626" s="192"/>
      <c r="F626" s="40">
        <f>ROUND(F625/(F$623+F$625),3)</f>
        <v>0.311</v>
      </c>
      <c r="G626" s="41">
        <f t="shared" ref="G626" si="652">ROUND(G625/(G$623+G$625),3)</f>
        <v>8.5000000000000006E-2</v>
      </c>
      <c r="H626" s="41">
        <f t="shared" ref="H626" si="653">ROUND(H625/(H$623+H$625),3)</f>
        <v>0.64100000000000001</v>
      </c>
      <c r="I626" s="42">
        <f t="shared" ref="I626" si="654">ROUND(I625/(I$623+I$625),3)</f>
        <v>0.19700000000000001</v>
      </c>
      <c r="J626" s="40">
        <f>ROUND(J625/(J$623+J$625),3)</f>
        <v>0.30399999999999999</v>
      </c>
      <c r="K626" s="41">
        <f t="shared" ref="K626:M626" si="655">ROUND(K625/(K$623+K$625),3)</f>
        <v>6.8000000000000005E-2</v>
      </c>
      <c r="L626" s="41">
        <f t="shared" si="655"/>
        <v>0.67600000000000005</v>
      </c>
      <c r="M626" s="41">
        <f t="shared" si="655"/>
        <v>0.14899999999999999</v>
      </c>
      <c r="N626" s="1"/>
      <c r="O626" s="1"/>
      <c r="P626" s="1"/>
      <c r="Q626" s="1"/>
      <c r="R626" s="1"/>
      <c r="S626" s="1"/>
      <c r="AF626" s="7"/>
      <c r="AN626" s="1"/>
    </row>
    <row r="627" spans="2:40" ht="12.75" customHeight="1" x14ac:dyDescent="0.15">
      <c r="D627" s="187" t="s">
        <v>20</v>
      </c>
      <c r="E627" s="194"/>
      <c r="F627" s="22">
        <f>F623+F625</f>
        <v>660</v>
      </c>
      <c r="G627" s="23">
        <f t="shared" ref="G627:I627" si="656">G623+G625</f>
        <v>59</v>
      </c>
      <c r="H627" s="23">
        <f t="shared" si="656"/>
        <v>184</v>
      </c>
      <c r="I627" s="24">
        <f t="shared" si="656"/>
        <v>417</v>
      </c>
      <c r="J627" s="22">
        <f>J623+J625</f>
        <v>698</v>
      </c>
      <c r="K627" s="23">
        <f t="shared" ref="K627:M627" si="657">K623+K625</f>
        <v>73</v>
      </c>
      <c r="L627" s="23">
        <f t="shared" si="657"/>
        <v>216</v>
      </c>
      <c r="M627" s="23">
        <f t="shared" si="657"/>
        <v>409</v>
      </c>
      <c r="N627" s="1"/>
      <c r="O627" s="1"/>
      <c r="P627" s="1"/>
      <c r="Q627" s="1"/>
      <c r="R627" s="1"/>
      <c r="S627" s="1"/>
      <c r="AF627" s="7"/>
      <c r="AN627" s="1"/>
    </row>
    <row r="628" spans="2:40" ht="12.75" customHeight="1" thickBot="1" x14ac:dyDescent="0.2">
      <c r="D628" s="187"/>
      <c r="E628" s="194"/>
      <c r="F628" s="133">
        <f>F624+F626</f>
        <v>1</v>
      </c>
      <c r="G628" s="134">
        <f t="shared" ref="G628:I628" si="658">G624+G626</f>
        <v>1</v>
      </c>
      <c r="H628" s="134">
        <f t="shared" si="658"/>
        <v>1</v>
      </c>
      <c r="I628" s="135">
        <f t="shared" si="658"/>
        <v>1</v>
      </c>
      <c r="J628" s="137">
        <f>J624+J626</f>
        <v>1</v>
      </c>
      <c r="K628" s="136">
        <f t="shared" ref="K628:M628" si="659">K624+K626</f>
        <v>1</v>
      </c>
      <c r="L628" s="136">
        <f t="shared" si="659"/>
        <v>1</v>
      </c>
      <c r="M628" s="136">
        <f t="shared" si="659"/>
        <v>1</v>
      </c>
      <c r="N628" s="1"/>
      <c r="O628" s="1"/>
      <c r="P628" s="1"/>
      <c r="Q628" s="1"/>
      <c r="R628" s="1"/>
      <c r="S628" s="1"/>
      <c r="AF628" s="7"/>
      <c r="AN628" s="1"/>
    </row>
    <row r="629" spans="2:40" ht="12.75" customHeight="1" x14ac:dyDescent="0.15">
      <c r="D629" s="82"/>
      <c r="E629" s="129"/>
      <c r="F629" s="57"/>
      <c r="G629" s="57"/>
      <c r="H629" s="57"/>
      <c r="I629" s="57"/>
      <c r="J629" s="50"/>
      <c r="K629" s="34"/>
      <c r="N629" s="1"/>
      <c r="O629" s="1"/>
      <c r="P629" s="1"/>
      <c r="Q629" s="1"/>
      <c r="R629" s="1"/>
      <c r="S629" s="1"/>
      <c r="AF629" s="7"/>
      <c r="AN629" s="1"/>
    </row>
    <row r="630" spans="2:40" ht="12.75" customHeight="1" x14ac:dyDescent="0.15">
      <c r="D630" s="82"/>
      <c r="E630" s="129"/>
      <c r="F630" s="57"/>
      <c r="G630" s="57"/>
      <c r="H630" s="57"/>
      <c r="I630" s="57"/>
      <c r="J630" s="50"/>
      <c r="K630" s="34"/>
      <c r="N630" s="1"/>
      <c r="O630" s="1"/>
      <c r="P630" s="1"/>
      <c r="Q630" s="1"/>
      <c r="R630" s="1"/>
      <c r="S630" s="1"/>
      <c r="AF630" s="7"/>
      <c r="AN630" s="1"/>
    </row>
    <row r="631" spans="2:40" ht="9.75" customHeight="1" x14ac:dyDescent="0.15">
      <c r="D631" s="82"/>
      <c r="E631" s="129"/>
      <c r="F631" s="69"/>
      <c r="G631" s="69"/>
      <c r="H631" s="69"/>
      <c r="I631" s="69"/>
      <c r="J631" s="57"/>
      <c r="K631" s="57"/>
      <c r="L631" s="57"/>
      <c r="M631" s="57"/>
      <c r="N631" s="57"/>
      <c r="O631" s="57"/>
      <c r="P631" s="57"/>
      <c r="Q631" s="57"/>
      <c r="R631" s="50"/>
      <c r="S631" s="50"/>
      <c r="T631" s="34"/>
      <c r="U631" s="35"/>
      <c r="V631" s="34"/>
      <c r="W631" s="2"/>
    </row>
    <row r="632" spans="2:40" ht="12.75" customHeight="1" thickBot="1" x14ac:dyDescent="0.2">
      <c r="B632" s="3" t="s">
        <v>160</v>
      </c>
      <c r="G632" s="10"/>
      <c r="K632" s="5"/>
      <c r="O632" s="5"/>
    </row>
    <row r="633" spans="2:40" ht="12.75" customHeight="1" x14ac:dyDescent="0.15">
      <c r="D633" s="70"/>
      <c r="E633" s="71"/>
      <c r="F633" s="71"/>
      <c r="G633" s="184" t="s">
        <v>266</v>
      </c>
      <c r="H633" s="185"/>
      <c r="I633" s="185"/>
      <c r="J633" s="186"/>
      <c r="K633" s="182" t="s">
        <v>60</v>
      </c>
      <c r="L633" s="196"/>
      <c r="M633" s="196"/>
      <c r="N633" s="196"/>
      <c r="O633" s="1"/>
      <c r="P633" s="1"/>
      <c r="Q633" s="1"/>
      <c r="R633" s="1"/>
      <c r="S633" s="1"/>
      <c r="Z633" s="36"/>
      <c r="AA633" s="36"/>
      <c r="AB633" s="36"/>
      <c r="AC633" s="36"/>
      <c r="AD633" s="36"/>
      <c r="AE633" s="36"/>
      <c r="AF633" s="36"/>
      <c r="AG633" s="36"/>
      <c r="AH633" s="36"/>
      <c r="AN633" s="1"/>
    </row>
    <row r="634" spans="2:40" ht="12.75" customHeight="1" x14ac:dyDescent="0.15">
      <c r="D634" s="72"/>
      <c r="E634" s="126"/>
      <c r="F634" s="126"/>
      <c r="G634" s="124"/>
      <c r="H634" s="128" t="s">
        <v>11</v>
      </c>
      <c r="I634" s="128" t="s">
        <v>12</v>
      </c>
      <c r="J634" s="39" t="s">
        <v>13</v>
      </c>
      <c r="K634" s="124"/>
      <c r="L634" s="128" t="s">
        <v>11</v>
      </c>
      <c r="M634" s="128" t="s">
        <v>12</v>
      </c>
      <c r="N634" s="122" t="s">
        <v>13</v>
      </c>
      <c r="O634" s="1"/>
      <c r="P634" s="1"/>
      <c r="Q634" s="1"/>
      <c r="R634" s="1"/>
      <c r="S634" s="1"/>
      <c r="Z634" s="173"/>
      <c r="AA634" s="173"/>
      <c r="AB634" s="173"/>
      <c r="AC634" s="173"/>
      <c r="AD634" s="173"/>
      <c r="AE634" s="173"/>
      <c r="AF634" s="172"/>
      <c r="AG634" s="172"/>
      <c r="AH634" s="172"/>
      <c r="AN634" s="1"/>
    </row>
    <row r="635" spans="2:40" ht="12.75" customHeight="1" x14ac:dyDescent="0.15">
      <c r="D635" s="257" t="s">
        <v>161</v>
      </c>
      <c r="E635" s="258"/>
      <c r="F635" s="258"/>
      <c r="G635" s="22">
        <f>H635+I635+J635</f>
        <v>106</v>
      </c>
      <c r="H635" s="23">
        <f>0+1+0</f>
        <v>1</v>
      </c>
      <c r="I635" s="23">
        <f>31+24+14</f>
        <v>69</v>
      </c>
      <c r="J635" s="24">
        <f>21+8+7</f>
        <v>36</v>
      </c>
      <c r="K635" s="22">
        <f>L635+M635+N635</f>
        <v>120</v>
      </c>
      <c r="L635" s="23">
        <v>1</v>
      </c>
      <c r="M635" s="23">
        <v>91</v>
      </c>
      <c r="N635" s="23">
        <v>28</v>
      </c>
      <c r="O635" s="1"/>
      <c r="P635" s="1"/>
      <c r="Q635" s="1"/>
      <c r="R635" s="1"/>
      <c r="S635" s="1"/>
      <c r="T635" s="90" t="s">
        <v>220</v>
      </c>
      <c r="U635" s="6">
        <v>106</v>
      </c>
      <c r="Z635" s="279"/>
      <c r="AA635" s="279"/>
      <c r="AB635" s="279"/>
      <c r="AC635" s="279"/>
      <c r="AD635" s="279"/>
      <c r="AE635" s="99"/>
      <c r="AF635" s="99"/>
      <c r="AG635" s="99"/>
      <c r="AH635" s="99"/>
      <c r="AN635" s="1"/>
    </row>
    <row r="636" spans="2:40" ht="12.75" customHeight="1" x14ac:dyDescent="0.15">
      <c r="D636" s="259"/>
      <c r="E636" s="260"/>
      <c r="F636" s="260"/>
      <c r="G636" s="40">
        <f t="shared" ref="G636:N636" si="660">ROUND(G635/(G$635++G$637+G$641+G$639+G$643+G$645+G$647+G$649+G$651),3)</f>
        <v>0.2</v>
      </c>
      <c r="H636" s="41">
        <f t="shared" si="660"/>
        <v>7.6999999999999999E-2</v>
      </c>
      <c r="I636" s="41">
        <f t="shared" si="660"/>
        <v>0.216</v>
      </c>
      <c r="J636" s="42">
        <f t="shared" si="660"/>
        <v>0.182</v>
      </c>
      <c r="K636" s="40">
        <f t="shared" si="660"/>
        <v>0.22</v>
      </c>
      <c r="L636" s="41">
        <f t="shared" si="660"/>
        <v>9.0999999999999998E-2</v>
      </c>
      <c r="M636" s="41">
        <f t="shared" si="660"/>
        <v>0.23400000000000001</v>
      </c>
      <c r="N636" s="41">
        <f t="shared" si="660"/>
        <v>0.193</v>
      </c>
      <c r="Q636" s="1"/>
      <c r="R636" s="1"/>
      <c r="S636" s="1"/>
      <c r="T636" s="1" t="s">
        <v>162</v>
      </c>
      <c r="U636" s="6">
        <v>93</v>
      </c>
      <c r="Z636" s="279"/>
      <c r="AA636" s="279"/>
      <c r="AB636" s="279"/>
      <c r="AC636" s="279"/>
      <c r="AD636" s="279"/>
      <c r="AE636" s="57"/>
      <c r="AF636" s="57"/>
      <c r="AG636" s="57"/>
      <c r="AH636" s="57"/>
      <c r="AN636" s="1"/>
    </row>
    <row r="637" spans="2:40" ht="12.75" customHeight="1" x14ac:dyDescent="0.15">
      <c r="D637" s="257" t="s">
        <v>162</v>
      </c>
      <c r="E637" s="258"/>
      <c r="F637" s="258"/>
      <c r="G637" s="22">
        <f>H637+I637+J637</f>
        <v>93</v>
      </c>
      <c r="H637" s="23">
        <f>1+1+0</f>
        <v>2</v>
      </c>
      <c r="I637" s="23">
        <f>20+16+26</f>
        <v>62</v>
      </c>
      <c r="J637" s="24">
        <f>6+11+12</f>
        <v>29</v>
      </c>
      <c r="K637" s="22">
        <f>L637+M637+N637</f>
        <v>89</v>
      </c>
      <c r="L637" s="23">
        <v>2</v>
      </c>
      <c r="M637" s="23">
        <v>70</v>
      </c>
      <c r="N637" s="23">
        <v>17</v>
      </c>
      <c r="Q637" s="1"/>
      <c r="R637" s="1"/>
      <c r="S637" s="1"/>
      <c r="T637" s="90" t="s">
        <v>222</v>
      </c>
      <c r="U637" s="6">
        <v>81</v>
      </c>
      <c r="Z637" s="279"/>
      <c r="AA637" s="279"/>
      <c r="AB637" s="279"/>
      <c r="AC637" s="279"/>
      <c r="AD637" s="279"/>
      <c r="AE637" s="99"/>
      <c r="AF637" s="99"/>
      <c r="AG637" s="99"/>
      <c r="AH637" s="99"/>
      <c r="AN637" s="1"/>
    </row>
    <row r="638" spans="2:40" ht="12.75" customHeight="1" x14ac:dyDescent="0.15">
      <c r="D638" s="259"/>
      <c r="E638" s="260"/>
      <c r="F638" s="260"/>
      <c r="G638" s="40">
        <f t="shared" ref="G638:N638" si="661">ROUND(G637/(G$635++G$637+G$641+G$639+G$643+G$645+G$647+G$649+G$651),3)</f>
        <v>0.17499999999999999</v>
      </c>
      <c r="H638" s="41">
        <f t="shared" si="661"/>
        <v>0.154</v>
      </c>
      <c r="I638" s="41">
        <f t="shared" si="661"/>
        <v>0.19400000000000001</v>
      </c>
      <c r="J638" s="42">
        <f t="shared" si="661"/>
        <v>0.14599999999999999</v>
      </c>
      <c r="K638" s="40">
        <f t="shared" si="661"/>
        <v>0.16300000000000001</v>
      </c>
      <c r="L638" s="41">
        <f t="shared" si="661"/>
        <v>0.182</v>
      </c>
      <c r="M638" s="41">
        <f t="shared" si="661"/>
        <v>0.18</v>
      </c>
      <c r="N638" s="41">
        <f t="shared" si="661"/>
        <v>0.11700000000000001</v>
      </c>
      <c r="Q638" s="1"/>
      <c r="R638" s="1"/>
      <c r="S638" s="1"/>
      <c r="T638" s="90" t="s">
        <v>221</v>
      </c>
      <c r="U638" s="6">
        <v>75</v>
      </c>
      <c r="Z638" s="279"/>
      <c r="AA638" s="279"/>
      <c r="AB638" s="279"/>
      <c r="AC638" s="279"/>
      <c r="AD638" s="279"/>
      <c r="AE638" s="57"/>
      <c r="AF638" s="57"/>
      <c r="AG638" s="57"/>
      <c r="AH638" s="57"/>
      <c r="AN638" s="1"/>
    </row>
    <row r="639" spans="2:40" ht="12.75" customHeight="1" x14ac:dyDescent="0.15">
      <c r="D639" s="257" t="s">
        <v>163</v>
      </c>
      <c r="E639" s="258"/>
      <c r="F639" s="258"/>
      <c r="G639" s="22">
        <f>H639+I639+J639</f>
        <v>81</v>
      </c>
      <c r="H639" s="23">
        <f>1+1+1</f>
        <v>3</v>
      </c>
      <c r="I639" s="23">
        <f>12+16+23</f>
        <v>51</v>
      </c>
      <c r="J639" s="24">
        <f>9+8+10</f>
        <v>27</v>
      </c>
      <c r="K639" s="22">
        <f>L639+M639+N639</f>
        <v>78</v>
      </c>
      <c r="L639" s="23">
        <v>2</v>
      </c>
      <c r="M639" s="23">
        <v>57</v>
      </c>
      <c r="N639" s="23">
        <v>19</v>
      </c>
      <c r="Q639" s="1"/>
      <c r="R639" s="1"/>
      <c r="S639" s="1"/>
      <c r="T639" s="98" t="s">
        <v>223</v>
      </c>
      <c r="U639" s="6">
        <v>43</v>
      </c>
      <c r="Z639" s="279"/>
      <c r="AA639" s="279"/>
      <c r="AB639" s="279"/>
      <c r="AC639" s="279"/>
      <c r="AD639" s="279"/>
      <c r="AE639" s="99"/>
      <c r="AF639" s="99"/>
      <c r="AG639" s="99"/>
      <c r="AH639" s="99"/>
      <c r="AN639" s="1"/>
    </row>
    <row r="640" spans="2:40" ht="12.75" customHeight="1" x14ac:dyDescent="0.15">
      <c r="D640" s="259"/>
      <c r="E640" s="260"/>
      <c r="F640" s="260"/>
      <c r="G640" s="40">
        <f t="shared" ref="G640:L640" si="662">ROUND(G639/(G$635++G$637+G$641+G$639+G$643+G$645+G$647+G$649+G$651),3)</f>
        <v>0.153</v>
      </c>
      <c r="H640" s="41">
        <f t="shared" si="662"/>
        <v>0.23100000000000001</v>
      </c>
      <c r="I640" s="41">
        <f t="shared" si="662"/>
        <v>0.16</v>
      </c>
      <c r="J640" s="42">
        <f t="shared" si="662"/>
        <v>0.13600000000000001</v>
      </c>
      <c r="K640" s="40">
        <f t="shared" si="662"/>
        <v>0.14299999999999999</v>
      </c>
      <c r="L640" s="41">
        <f t="shared" si="662"/>
        <v>0.182</v>
      </c>
      <c r="M640" s="41">
        <f>ROUND(M639/(M$635++M$637+M$641+M$639+M$643+M$645+M$647+M$649+M$651),3)-0.001</f>
        <v>0.14599999999999999</v>
      </c>
      <c r="N640" s="41">
        <f>ROUND(N639/(N$635++N$637+N$641+N$639+N$643+N$645+N$647+N$649+N$651),3)</f>
        <v>0.13100000000000001</v>
      </c>
      <c r="Q640" s="1"/>
      <c r="R640" s="1"/>
      <c r="S640" s="1"/>
      <c r="T640" s="90" t="s">
        <v>224</v>
      </c>
      <c r="U640" s="6">
        <v>40</v>
      </c>
      <c r="Z640" s="279"/>
      <c r="AA640" s="279"/>
      <c r="AB640" s="279"/>
      <c r="AC640" s="279"/>
      <c r="AD640" s="279"/>
      <c r="AE640" s="57"/>
      <c r="AF640" s="57"/>
      <c r="AG640" s="57"/>
      <c r="AH640" s="57"/>
      <c r="AN640" s="1"/>
    </row>
    <row r="641" spans="4:40" ht="12.75" customHeight="1" x14ac:dyDescent="0.15">
      <c r="D641" s="257" t="s">
        <v>63</v>
      </c>
      <c r="E641" s="258"/>
      <c r="F641" s="258"/>
      <c r="G641" s="22">
        <f>H641+I641+J641</f>
        <v>75</v>
      </c>
      <c r="H641" s="23">
        <f>1+1+0</f>
        <v>2</v>
      </c>
      <c r="I641" s="23">
        <f>24+13+6</f>
        <v>43</v>
      </c>
      <c r="J641" s="24">
        <f>19+8+3</f>
        <v>30</v>
      </c>
      <c r="K641" s="22">
        <f>L641+M641+N641</f>
        <v>82</v>
      </c>
      <c r="L641" s="23">
        <v>1</v>
      </c>
      <c r="M641" s="23">
        <v>54</v>
      </c>
      <c r="N641" s="23">
        <v>27</v>
      </c>
      <c r="Q641" s="1"/>
      <c r="R641" s="1"/>
      <c r="S641" s="1"/>
      <c r="T641" s="90" t="s">
        <v>225</v>
      </c>
      <c r="U641" s="6">
        <v>34</v>
      </c>
      <c r="Z641" s="162"/>
      <c r="AA641" s="162"/>
      <c r="AB641" s="162"/>
      <c r="AC641" s="163"/>
      <c r="AD641" s="163"/>
      <c r="AE641" s="57"/>
      <c r="AF641" s="57"/>
      <c r="AG641" s="57"/>
      <c r="AH641" s="57"/>
      <c r="AN641" s="1"/>
    </row>
    <row r="642" spans="4:40" ht="12.75" customHeight="1" x14ac:dyDescent="0.15">
      <c r="D642" s="259"/>
      <c r="E642" s="260"/>
      <c r="F642" s="260"/>
      <c r="G642" s="40">
        <f>ROUND(G641/(G$635++G$637+G$641+G$639+G$643+G$645+G$647+G$649+G$651),3)</f>
        <v>0.14199999999999999</v>
      </c>
      <c r="H642" s="41">
        <f>ROUND(H641/(H$635++H$637+H$641+H$639+H$643+H$645+H$647+H$649+H$651),3)</f>
        <v>0.154</v>
      </c>
      <c r="I642" s="41">
        <f>ROUND(I641/(I$635++I$637+I$641+I$639+I$643+I$645+I$647+I$649+I$651),3)</f>
        <v>0.13500000000000001</v>
      </c>
      <c r="J642" s="42">
        <f>ROUND(J641/(J$635++J$637+J$641+J$639+J$643+J$645+J$647+J$649+J$651),3)</f>
        <v>0.152</v>
      </c>
      <c r="K642" s="40">
        <f>ROUND(K641/(K$635++K$637+K$641+K$639+K$643+K$645+K$647+K$649+K$651),3)+0.001</f>
        <v>0.151</v>
      </c>
      <c r="L642" s="41">
        <f>ROUND(L641/(L$635++L$637+L$641+L$639+L$643+L$645+L$647+L$649+L$651),3)</f>
        <v>9.0999999999999998E-2</v>
      </c>
      <c r="M642" s="41">
        <f>ROUND(M641/(M$635++M$637+M$641+M$639+M$643+M$645+M$647+M$649+M$651),3)</f>
        <v>0.13900000000000001</v>
      </c>
      <c r="N642" s="41">
        <f>ROUND(N641/(N$635++N$637+N$641+N$639+N$643+N$645+N$647+N$649+N$651),3)</f>
        <v>0.186</v>
      </c>
      <c r="Q642" s="1"/>
      <c r="R642" s="1"/>
      <c r="S642" s="1"/>
      <c r="T642" s="90" t="s">
        <v>226</v>
      </c>
      <c r="U642" s="6">
        <v>20</v>
      </c>
      <c r="Z642" s="162"/>
      <c r="AA642" s="162"/>
      <c r="AB642" s="162"/>
      <c r="AC642" s="163"/>
      <c r="AD642" s="163"/>
      <c r="AE642" s="57"/>
      <c r="AF642" s="57"/>
      <c r="AG642" s="57"/>
      <c r="AH642" s="57"/>
      <c r="AN642" s="1"/>
    </row>
    <row r="643" spans="4:40" ht="12.75" customHeight="1" x14ac:dyDescent="0.15">
      <c r="D643" s="274" t="s">
        <v>62</v>
      </c>
      <c r="E643" s="275"/>
      <c r="F643" s="275"/>
      <c r="G643" s="22">
        <f>H643+I643+J643</f>
        <v>43</v>
      </c>
      <c r="H643" s="23">
        <f>0+0+1</f>
        <v>1</v>
      </c>
      <c r="I643" s="23">
        <f>6+13+10</f>
        <v>29</v>
      </c>
      <c r="J643" s="24">
        <f>2+5+6</f>
        <v>13</v>
      </c>
      <c r="K643" s="22">
        <f>L643+M643+N643</f>
        <v>46</v>
      </c>
      <c r="L643" s="23">
        <v>1</v>
      </c>
      <c r="M643" s="23">
        <v>30</v>
      </c>
      <c r="N643" s="23">
        <v>15</v>
      </c>
      <c r="Q643" s="1"/>
      <c r="R643" s="1"/>
      <c r="S643" s="1"/>
      <c r="T643" s="1" t="s">
        <v>88</v>
      </c>
      <c r="U643" s="74">
        <v>38</v>
      </c>
      <c r="Z643" s="279"/>
      <c r="AA643" s="279"/>
      <c r="AB643" s="279"/>
      <c r="AC643" s="279"/>
      <c r="AD643" s="279"/>
      <c r="AE643" s="99"/>
      <c r="AF643" s="99"/>
      <c r="AG643" s="99"/>
      <c r="AH643" s="99"/>
      <c r="AN643" s="1"/>
    </row>
    <row r="644" spans="4:40" ht="12.75" customHeight="1" x14ac:dyDescent="0.15">
      <c r="D644" s="276"/>
      <c r="E644" s="277"/>
      <c r="F644" s="277"/>
      <c r="G644" s="40">
        <f>ROUND(G643/(G$635++G$637+G$641+G$639+G$643+G$645+G$647+G$649+G$651),3)</f>
        <v>8.1000000000000003E-2</v>
      </c>
      <c r="H644" s="41">
        <f>ROUND(H643/(H$635++H$637+H$641+H$639+H$643+H$645+H$647+H$649+H$651),3)</f>
        <v>7.6999999999999999E-2</v>
      </c>
      <c r="I644" s="41">
        <f>ROUND(I643/(I$635++I$637+I$641+I$639+I$643+I$645+I$647+I$649+I$651),3)</f>
        <v>9.0999999999999998E-2</v>
      </c>
      <c r="J644" s="42">
        <f>ROUND(J643/(J$635++J$637+J$641+J$639+J$643+J$645+J$647+J$649+J$651),3)</f>
        <v>6.6000000000000003E-2</v>
      </c>
      <c r="K644" s="40">
        <f>ROUND(K643/(K$635++K$637+K$641+K$639+K$643+K$645+K$647+K$649+K$651),3)+0.001</f>
        <v>8.5000000000000006E-2</v>
      </c>
      <c r="L644" s="41">
        <f>ROUND(L643/(L$635++L$637+L$641+L$639+L$643+L$645+L$647+L$649+L$651),3)</f>
        <v>9.0999999999999998E-2</v>
      </c>
      <c r="M644" s="41">
        <f>ROUND(M643/(M$635++M$637+M$641+M$639+M$643+M$645+M$647+M$649+M$651),3)</f>
        <v>7.6999999999999999E-2</v>
      </c>
      <c r="N644" s="41">
        <f>ROUND(N643/(N$635++N$637+N$641+N$639+N$643+N$645+N$647+N$649+N$651),3)</f>
        <v>0.10299999999999999</v>
      </c>
      <c r="Q644" s="1"/>
      <c r="R644" s="1"/>
      <c r="S644" s="1"/>
      <c r="U644" s="1"/>
      <c r="Z644" s="279"/>
      <c r="AA644" s="279"/>
      <c r="AB644" s="279"/>
      <c r="AC644" s="279"/>
      <c r="AD644" s="279"/>
      <c r="AE644" s="57"/>
      <c r="AF644" s="57"/>
      <c r="AG644" s="57"/>
      <c r="AH644" s="57"/>
      <c r="AN644" s="1"/>
    </row>
    <row r="645" spans="4:40" ht="12.75" customHeight="1" x14ac:dyDescent="0.15">
      <c r="D645" s="261" t="s">
        <v>164</v>
      </c>
      <c r="E645" s="262"/>
      <c r="F645" s="262"/>
      <c r="G645" s="22">
        <f>H645+I645+J645</f>
        <v>40</v>
      </c>
      <c r="H645" s="23">
        <f>1+0+1</f>
        <v>2</v>
      </c>
      <c r="I645" s="23">
        <f>8+7+4</f>
        <v>19</v>
      </c>
      <c r="J645" s="24">
        <f>9+4+6</f>
        <v>19</v>
      </c>
      <c r="K645" s="22">
        <f>L645+M645+N645</f>
        <v>42</v>
      </c>
      <c r="L645" s="23">
        <v>1</v>
      </c>
      <c r="M645" s="23">
        <v>30</v>
      </c>
      <c r="N645" s="23">
        <v>11</v>
      </c>
      <c r="Q645" s="1"/>
      <c r="R645" s="1"/>
      <c r="S645" s="1"/>
      <c r="U645" s="1"/>
      <c r="V645" s="99"/>
      <c r="W645" s="99"/>
      <c r="X645" s="99"/>
      <c r="Z645" s="279"/>
      <c r="AA645" s="279"/>
      <c r="AB645" s="279"/>
      <c r="AC645" s="279"/>
      <c r="AD645" s="279"/>
      <c r="AE645" s="99"/>
      <c r="AF645" s="99"/>
      <c r="AG645" s="99"/>
      <c r="AH645" s="99"/>
      <c r="AN645" s="1"/>
    </row>
    <row r="646" spans="4:40" ht="12.75" customHeight="1" x14ac:dyDescent="0.15">
      <c r="D646" s="263"/>
      <c r="E646" s="264"/>
      <c r="F646" s="264"/>
      <c r="G646" s="40">
        <f t="shared" ref="G646:N646" si="663">ROUND(G645/(G$635++G$637+G$641+G$639+G$643+G$645+G$647+G$649+G$651),3)</f>
        <v>7.4999999999999997E-2</v>
      </c>
      <c r="H646" s="41">
        <f t="shared" si="663"/>
        <v>0.154</v>
      </c>
      <c r="I646" s="41">
        <f t="shared" si="663"/>
        <v>0.06</v>
      </c>
      <c r="J646" s="42">
        <f t="shared" si="663"/>
        <v>9.6000000000000002E-2</v>
      </c>
      <c r="K646" s="40">
        <f t="shared" si="663"/>
        <v>7.6999999999999999E-2</v>
      </c>
      <c r="L646" s="41">
        <f t="shared" si="663"/>
        <v>9.0999999999999998E-2</v>
      </c>
      <c r="M646" s="41">
        <f t="shared" si="663"/>
        <v>7.6999999999999999E-2</v>
      </c>
      <c r="N646" s="41">
        <f t="shared" si="663"/>
        <v>7.5999999999999998E-2</v>
      </c>
      <c r="O646" s="1"/>
      <c r="P646" s="1"/>
      <c r="Q646" s="1"/>
      <c r="R646" s="1"/>
      <c r="S646" s="1"/>
      <c r="Z646" s="279"/>
      <c r="AA646" s="279"/>
      <c r="AB646" s="279"/>
      <c r="AC646" s="279"/>
      <c r="AD646" s="279"/>
      <c r="AE646" s="57"/>
      <c r="AF646" s="57"/>
      <c r="AG646" s="57"/>
      <c r="AH646" s="57"/>
      <c r="AN646" s="1"/>
    </row>
    <row r="647" spans="4:40" ht="12.75" customHeight="1" x14ac:dyDescent="0.15">
      <c r="D647" s="257" t="s">
        <v>165</v>
      </c>
      <c r="E647" s="258"/>
      <c r="F647" s="258"/>
      <c r="G647" s="22">
        <f>H647+I647+J647</f>
        <v>34</v>
      </c>
      <c r="H647" s="23">
        <f>0+0+0</f>
        <v>0</v>
      </c>
      <c r="I647" s="23">
        <f>2+10+8</f>
        <v>20</v>
      </c>
      <c r="J647" s="24">
        <f>2+9+3</f>
        <v>14</v>
      </c>
      <c r="K647" s="22">
        <f>L647+M647+N647</f>
        <v>29</v>
      </c>
      <c r="L647" s="23">
        <v>1</v>
      </c>
      <c r="M647" s="23">
        <v>19</v>
      </c>
      <c r="N647" s="23">
        <v>9</v>
      </c>
      <c r="O647" s="1"/>
      <c r="P647" s="1"/>
      <c r="Q647" s="1"/>
      <c r="R647" s="1"/>
      <c r="S647" s="1"/>
      <c r="Z647" s="279"/>
      <c r="AA647" s="279"/>
      <c r="AB647" s="279"/>
      <c r="AC647" s="279"/>
      <c r="AD647" s="279"/>
      <c r="AE647" s="99"/>
      <c r="AF647" s="99"/>
      <c r="AG647" s="99"/>
      <c r="AH647" s="99"/>
      <c r="AN647" s="1"/>
    </row>
    <row r="648" spans="4:40" ht="12.75" customHeight="1" x14ac:dyDescent="0.15">
      <c r="D648" s="259"/>
      <c r="E648" s="260"/>
      <c r="F648" s="260"/>
      <c r="G648" s="40">
        <f t="shared" ref="G648:N648" si="664">ROUND(G647/(G$635++G$637+G$641+G$639+G$643+G$645+G$647+G$649+G$651),3)</f>
        <v>6.4000000000000001E-2</v>
      </c>
      <c r="H648" s="41">
        <f t="shared" si="664"/>
        <v>0</v>
      </c>
      <c r="I648" s="41">
        <f t="shared" si="664"/>
        <v>6.3E-2</v>
      </c>
      <c r="J648" s="42">
        <f t="shared" si="664"/>
        <v>7.0999999999999994E-2</v>
      </c>
      <c r="K648" s="40">
        <f t="shared" si="664"/>
        <v>5.2999999999999999E-2</v>
      </c>
      <c r="L648" s="41">
        <f t="shared" si="664"/>
        <v>9.0999999999999998E-2</v>
      </c>
      <c r="M648" s="41">
        <f t="shared" si="664"/>
        <v>4.9000000000000002E-2</v>
      </c>
      <c r="N648" s="41">
        <f t="shared" si="664"/>
        <v>6.2E-2</v>
      </c>
      <c r="O648" s="1"/>
      <c r="P648" s="1"/>
      <c r="Q648" s="1"/>
      <c r="R648" s="1"/>
      <c r="S648" s="1"/>
      <c r="Z648" s="279"/>
      <c r="AA648" s="279"/>
      <c r="AB648" s="279"/>
      <c r="AC648" s="279"/>
      <c r="AD648" s="279"/>
      <c r="AE648" s="57"/>
      <c r="AF648" s="57"/>
      <c r="AG648" s="57"/>
      <c r="AH648" s="57"/>
      <c r="AN648" s="1"/>
    </row>
    <row r="649" spans="4:40" ht="12.75" customHeight="1" x14ac:dyDescent="0.15">
      <c r="D649" s="261" t="s">
        <v>249</v>
      </c>
      <c r="E649" s="262"/>
      <c r="F649" s="262"/>
      <c r="G649" s="22">
        <f>H649+I649+J649</f>
        <v>20</v>
      </c>
      <c r="H649" s="23">
        <f>0+0+0</f>
        <v>0</v>
      </c>
      <c r="I649" s="23">
        <f>0+4+5</f>
        <v>9</v>
      </c>
      <c r="J649" s="24">
        <f>2+4+5</f>
        <v>11</v>
      </c>
      <c r="K649" s="22">
        <f>L649+M649+N649</f>
        <v>10</v>
      </c>
      <c r="L649" s="23">
        <v>0</v>
      </c>
      <c r="M649" s="23">
        <v>5</v>
      </c>
      <c r="N649" s="23">
        <v>5</v>
      </c>
      <c r="O649" s="1"/>
      <c r="P649" s="1"/>
      <c r="Q649" s="1"/>
      <c r="R649" s="1"/>
      <c r="S649" s="1"/>
      <c r="Z649" s="279"/>
      <c r="AA649" s="279"/>
      <c r="AB649" s="279"/>
      <c r="AC649" s="279"/>
      <c r="AD649" s="279"/>
      <c r="AE649" s="99"/>
      <c r="AF649" s="99"/>
      <c r="AG649" s="99"/>
      <c r="AH649" s="99"/>
      <c r="AN649" s="1"/>
    </row>
    <row r="650" spans="4:40" ht="12.75" customHeight="1" x14ac:dyDescent="0.15">
      <c r="D650" s="263"/>
      <c r="E650" s="264"/>
      <c r="F650" s="264"/>
      <c r="G650" s="40">
        <f>ROUND(G649/(G$635++G$637+G$641+G$639+G$643+G$645+G$647+G$649+G$651),3)</f>
        <v>3.7999999999999999E-2</v>
      </c>
      <c r="H650" s="41">
        <f>ROUND(H649/(H$635++H$637+H$641+H$639+H$643+H$645+H$647+H$649+H$651),3)</f>
        <v>0</v>
      </c>
      <c r="I650" s="41">
        <f>ROUND(I649/(I$635++I$637+I$641+I$639+I$643+I$645+I$647+I$649+I$651),3)</f>
        <v>2.8000000000000001E-2</v>
      </c>
      <c r="J650" s="42">
        <f>ROUND(J649/(J$635++J$637+J$641+J$639+J$643+J$645+J$647+J$649+J$651),3)+0.001</f>
        <v>5.7000000000000002E-2</v>
      </c>
      <c r="K650" s="40">
        <f>ROUND(K649/(K$635++K$637+K$641+K$639+K$643+K$645+K$647+K$649+K$651),3)</f>
        <v>1.7999999999999999E-2</v>
      </c>
      <c r="L650" s="41">
        <f>ROUND(L649/(L$635++L$637+L$641+L$639+L$643+L$645+L$647+L$649+L$651),3)</f>
        <v>0</v>
      </c>
      <c r="M650" s="41">
        <f>ROUND(M649/(M$635++M$637+M$641+M$639+M$643+M$645+M$647+M$649+M$651),3)</f>
        <v>1.2999999999999999E-2</v>
      </c>
      <c r="N650" s="41">
        <f>ROUND(N649/(N$635++N$637+N$641+N$639+N$643+N$645+N$647+N$649+N$651),3)+0.001</f>
        <v>3.5000000000000003E-2</v>
      </c>
      <c r="O650" s="1"/>
      <c r="P650" s="1"/>
      <c r="Q650" s="1"/>
      <c r="R650" s="1"/>
      <c r="S650" s="1"/>
      <c r="Z650" s="279"/>
      <c r="AA650" s="279"/>
      <c r="AB650" s="279"/>
      <c r="AC650" s="279"/>
      <c r="AD650" s="279"/>
      <c r="AE650" s="57"/>
      <c r="AF650" s="57"/>
      <c r="AG650" s="57"/>
      <c r="AH650" s="57"/>
      <c r="AN650" s="1"/>
    </row>
    <row r="651" spans="4:40" ht="12.75" customHeight="1" x14ac:dyDescent="0.15">
      <c r="D651" s="257" t="s">
        <v>88</v>
      </c>
      <c r="E651" s="258"/>
      <c r="F651" s="258"/>
      <c r="G651" s="22">
        <f>H651+I651+J651</f>
        <v>38</v>
      </c>
      <c r="H651" s="23">
        <f>1+0+1</f>
        <v>2</v>
      </c>
      <c r="I651" s="23">
        <f>14+2+1</f>
        <v>17</v>
      </c>
      <c r="J651" s="24">
        <f>12+4+3</f>
        <v>19</v>
      </c>
      <c r="K651" s="22">
        <f>L651+M651+N651</f>
        <v>49</v>
      </c>
      <c r="L651" s="23">
        <v>2</v>
      </c>
      <c r="M651" s="23">
        <v>33</v>
      </c>
      <c r="N651" s="23">
        <v>14</v>
      </c>
      <c r="O651" s="1"/>
      <c r="P651" s="1"/>
      <c r="Q651" s="1"/>
      <c r="R651" s="1"/>
      <c r="S651" s="1"/>
      <c r="Z651" s="279"/>
      <c r="AA651" s="279"/>
      <c r="AB651" s="279"/>
      <c r="AC651" s="279"/>
      <c r="AD651" s="279"/>
      <c r="AE651" s="99"/>
      <c r="AF651" s="99"/>
      <c r="AG651" s="99"/>
      <c r="AH651" s="99"/>
      <c r="AN651" s="1"/>
    </row>
    <row r="652" spans="4:40" ht="12.75" customHeight="1" x14ac:dyDescent="0.15">
      <c r="D652" s="259"/>
      <c r="E652" s="260"/>
      <c r="F652" s="260"/>
      <c r="G652" s="40">
        <f t="shared" ref="G652:N652" si="665">ROUND(G651/(G$635++G$637+G$641+G$639+G$643+G$645+G$647+G$649+G$651),3)</f>
        <v>7.1999999999999995E-2</v>
      </c>
      <c r="H652" s="41">
        <f t="shared" si="665"/>
        <v>0.154</v>
      </c>
      <c r="I652" s="41">
        <f t="shared" si="665"/>
        <v>5.2999999999999999E-2</v>
      </c>
      <c r="J652" s="42">
        <f t="shared" si="665"/>
        <v>9.6000000000000002E-2</v>
      </c>
      <c r="K652" s="40">
        <f t="shared" si="665"/>
        <v>0.09</v>
      </c>
      <c r="L652" s="41">
        <f t="shared" si="665"/>
        <v>0.182</v>
      </c>
      <c r="M652" s="41">
        <f t="shared" si="665"/>
        <v>8.5000000000000006E-2</v>
      </c>
      <c r="N652" s="41">
        <f t="shared" si="665"/>
        <v>9.7000000000000003E-2</v>
      </c>
      <c r="O652" s="1"/>
      <c r="P652" s="1"/>
      <c r="Q652" s="1"/>
      <c r="R652" s="1"/>
      <c r="S652" s="1"/>
      <c r="Z652" s="279"/>
      <c r="AA652" s="279"/>
      <c r="AB652" s="279"/>
      <c r="AC652" s="279"/>
      <c r="AD652" s="279"/>
      <c r="AE652" s="57"/>
      <c r="AF652" s="57"/>
      <c r="AG652" s="57"/>
      <c r="AH652" s="57"/>
      <c r="AN652" s="1"/>
    </row>
    <row r="653" spans="4:40" ht="12.75" customHeight="1" x14ac:dyDescent="0.15">
      <c r="D653" s="203" t="s">
        <v>20</v>
      </c>
      <c r="E653" s="197"/>
      <c r="F653" s="197"/>
      <c r="G653" s="22">
        <f t="shared" ref="G653:N653" si="666">G635+G637+G641+G639+G643+G645+G647+G649+G651</f>
        <v>530</v>
      </c>
      <c r="H653" s="23">
        <f t="shared" si="666"/>
        <v>13</v>
      </c>
      <c r="I653" s="23">
        <f t="shared" si="666"/>
        <v>319</v>
      </c>
      <c r="J653" s="24">
        <f t="shared" si="666"/>
        <v>198</v>
      </c>
      <c r="K653" s="22">
        <f t="shared" si="666"/>
        <v>545</v>
      </c>
      <c r="L653" s="23">
        <f t="shared" si="666"/>
        <v>11</v>
      </c>
      <c r="M653" s="23">
        <f t="shared" si="666"/>
        <v>389</v>
      </c>
      <c r="N653" s="23">
        <f t="shared" si="666"/>
        <v>145</v>
      </c>
      <c r="Q653" s="1"/>
      <c r="R653" s="1"/>
      <c r="S653" s="1"/>
      <c r="Z653" s="279"/>
      <c r="AA653" s="279"/>
      <c r="AB653" s="279"/>
      <c r="AC653" s="279"/>
      <c r="AD653" s="279"/>
      <c r="AE653" s="99"/>
      <c r="AF653" s="99"/>
      <c r="AG653" s="99"/>
      <c r="AH653" s="99"/>
      <c r="AN653" s="1"/>
    </row>
    <row r="654" spans="4:40" ht="12.75" customHeight="1" thickBot="1" x14ac:dyDescent="0.2">
      <c r="D654" s="210"/>
      <c r="E654" s="211"/>
      <c r="F654" s="211"/>
      <c r="G654" s="133">
        <f>G636+G638+G642+G640+G644+G646+G648+G650+G652</f>
        <v>0.99999999999999989</v>
      </c>
      <c r="H654" s="134">
        <f>H636+H638+H642+H640+H644+H646+H648+H650+H652-0.001</f>
        <v>0.99999999999999989</v>
      </c>
      <c r="I654" s="134">
        <f>I636+I638+I642+I640+I644+I646+I648+I650+I652</f>
        <v>1</v>
      </c>
      <c r="J654" s="135">
        <f>J636+J638+J642+J640+J644+J646+J648+J650+J652</f>
        <v>1.002</v>
      </c>
      <c r="K654" s="137">
        <f>K636+K638+K642+K640+K644+K646+K648+K650+K652</f>
        <v>1</v>
      </c>
      <c r="L654" s="136">
        <f>L636+L638+L642+L640+L644+L646+L648+L650+L652-0.001</f>
        <v>0.99999999999999989</v>
      </c>
      <c r="M654" s="136">
        <f>M636+M638+M642+M640+M644+M646+M648+M650+M652</f>
        <v>1</v>
      </c>
      <c r="N654" s="136">
        <f>N636+N638+N642+N640+N644+N646+N648+N650+N652</f>
        <v>0.99999999999999989</v>
      </c>
      <c r="Q654" s="1"/>
      <c r="R654" s="1"/>
      <c r="S654" s="1"/>
      <c r="Z654" s="279"/>
      <c r="AA654" s="279"/>
      <c r="AB654" s="279"/>
      <c r="AC654" s="279"/>
      <c r="AD654" s="279"/>
      <c r="AE654" s="57"/>
      <c r="AF654" s="57"/>
      <c r="AG654" s="57"/>
      <c r="AH654" s="57"/>
      <c r="AN654" s="1"/>
    </row>
    <row r="655" spans="4:40" ht="12.75" customHeight="1" x14ac:dyDescent="0.15">
      <c r="D655" s="1"/>
      <c r="N655" s="1"/>
      <c r="O655" s="1"/>
      <c r="P655" s="1"/>
      <c r="Q655" s="1"/>
      <c r="R655" s="1"/>
      <c r="S655" s="1"/>
      <c r="Z655" s="36"/>
      <c r="AA655" s="36"/>
      <c r="AB655" s="36"/>
      <c r="AC655" s="279"/>
      <c r="AD655" s="279"/>
      <c r="AE655" s="99"/>
      <c r="AF655" s="99"/>
      <c r="AG655" s="99"/>
      <c r="AH655" s="99"/>
      <c r="AN655" s="1"/>
    </row>
    <row r="656" spans="4:40" ht="12.75" customHeight="1" x14ac:dyDescent="0.15">
      <c r="D656" s="1"/>
      <c r="N656" s="1"/>
      <c r="O656" s="1"/>
      <c r="P656" s="1"/>
      <c r="Q656" s="1"/>
      <c r="R656" s="1"/>
      <c r="S656" s="1"/>
      <c r="Z656" s="36"/>
      <c r="AA656" s="36"/>
      <c r="AB656" s="36"/>
      <c r="AC656" s="279"/>
      <c r="AD656" s="279"/>
      <c r="AE656" s="57"/>
      <c r="AF656" s="57"/>
      <c r="AG656" s="57"/>
      <c r="AH656" s="57"/>
      <c r="AN656" s="1"/>
    </row>
    <row r="657" spans="2:40" ht="10.5" customHeight="1" x14ac:dyDescent="0.15">
      <c r="D657" s="82"/>
      <c r="E657" s="129"/>
      <c r="F657" s="57"/>
      <c r="G657" s="57"/>
      <c r="H657" s="57"/>
      <c r="I657" s="57"/>
      <c r="J657" s="50"/>
      <c r="K657" s="34"/>
      <c r="N657" s="1"/>
      <c r="O657" s="1"/>
      <c r="P657" s="1"/>
      <c r="Q657" s="1"/>
      <c r="R657" s="1"/>
      <c r="S657" s="1"/>
      <c r="Z657" s="151"/>
      <c r="AA657" s="151"/>
      <c r="AB657" s="151"/>
      <c r="AC657" s="151"/>
      <c r="AD657" s="151"/>
      <c r="AE657" s="151"/>
      <c r="AF657" s="280"/>
      <c r="AG657" s="151"/>
      <c r="AH657" s="151"/>
      <c r="AN657" s="1"/>
    </row>
    <row r="658" spans="2:40" ht="12.75" customHeight="1" thickBot="1" x14ac:dyDescent="0.2">
      <c r="B658" s="3" t="s">
        <v>159</v>
      </c>
      <c r="G658" s="10"/>
      <c r="K658" s="5"/>
      <c r="O658" s="5"/>
    </row>
    <row r="659" spans="2:40" ht="12.75" customHeight="1" x14ac:dyDescent="0.15">
      <c r="D659" s="203"/>
      <c r="E659" s="248"/>
      <c r="F659" s="184" t="s">
        <v>266</v>
      </c>
      <c r="G659" s="185"/>
      <c r="H659" s="185"/>
      <c r="I659" s="186"/>
      <c r="J659" s="182" t="s">
        <v>60</v>
      </c>
      <c r="K659" s="196"/>
      <c r="L659" s="196"/>
      <c r="M659" s="196"/>
      <c r="N659" s="1"/>
      <c r="O659" s="1"/>
      <c r="P659" s="1"/>
      <c r="Q659" s="1"/>
      <c r="R659" s="1"/>
      <c r="S659" s="1"/>
      <c r="AF659" s="7"/>
      <c r="AN659" s="1"/>
    </row>
    <row r="660" spans="2:40" ht="12.75" customHeight="1" x14ac:dyDescent="0.15">
      <c r="D660" s="210"/>
      <c r="E660" s="249"/>
      <c r="F660" s="124"/>
      <c r="G660" s="128" t="s">
        <v>11</v>
      </c>
      <c r="H660" s="128" t="s">
        <v>12</v>
      </c>
      <c r="I660" s="39" t="s">
        <v>13</v>
      </c>
      <c r="J660" s="124"/>
      <c r="K660" s="128" t="s">
        <v>11</v>
      </c>
      <c r="L660" s="128" t="s">
        <v>12</v>
      </c>
      <c r="M660" s="128" t="s">
        <v>13</v>
      </c>
      <c r="N660" s="1"/>
      <c r="O660" s="1"/>
      <c r="P660" s="1"/>
      <c r="Q660" s="1"/>
      <c r="R660" s="1"/>
      <c r="S660" s="1"/>
      <c r="AF660" s="7"/>
      <c r="AN660" s="1"/>
    </row>
    <row r="661" spans="2:40" ht="12.75" customHeight="1" x14ac:dyDescent="0.15">
      <c r="D661" s="188" t="s">
        <v>113</v>
      </c>
      <c r="E661" s="190"/>
      <c r="F661" s="22">
        <f>G661+H661+I661</f>
        <v>1</v>
      </c>
      <c r="G661" s="23">
        <v>0</v>
      </c>
      <c r="H661" s="23">
        <v>0</v>
      </c>
      <c r="I661" s="24">
        <v>1</v>
      </c>
      <c r="J661" s="22">
        <f>K661+L661+M661</f>
        <v>3</v>
      </c>
      <c r="K661" s="23">
        <v>0</v>
      </c>
      <c r="L661" s="23">
        <v>3</v>
      </c>
      <c r="M661" s="23">
        <v>0</v>
      </c>
      <c r="N661" s="1"/>
      <c r="O661" s="1"/>
      <c r="P661" s="1"/>
      <c r="Q661" s="1"/>
      <c r="R661" s="1"/>
      <c r="S661" s="1"/>
      <c r="T661" s="1" t="s">
        <v>113</v>
      </c>
      <c r="U661" s="6">
        <v>1</v>
      </c>
      <c r="AF661" s="7"/>
      <c r="AN661" s="1"/>
    </row>
    <row r="662" spans="2:40" ht="12.75" customHeight="1" x14ac:dyDescent="0.15">
      <c r="D662" s="191"/>
      <c r="E662" s="193"/>
      <c r="F662" s="40">
        <f>ROUND(F661/(F$661+F$663+F$665+F$667+F$669),3)</f>
        <v>2E-3</v>
      </c>
      <c r="G662" s="41">
        <f t="shared" ref="G662:I662" si="667">ROUND(G661/(G$661+G$663+G$665+G$667+G$669),3)</f>
        <v>0</v>
      </c>
      <c r="H662" s="41">
        <f t="shared" si="667"/>
        <v>0</v>
      </c>
      <c r="I662" s="42">
        <f t="shared" si="667"/>
        <v>3.0000000000000001E-3</v>
      </c>
      <c r="J662" s="40">
        <f>ROUND(J661/(J$661+J$663+J$665+J$667+J$669),3)</f>
        <v>6.0000000000000001E-3</v>
      </c>
      <c r="K662" s="41">
        <f t="shared" ref="K662:M662" si="668">ROUND(K661/(K$661+K$663+K$665+K$667+K$669),3)</f>
        <v>0</v>
      </c>
      <c r="L662" s="41">
        <f t="shared" si="668"/>
        <v>4.3999999999999997E-2</v>
      </c>
      <c r="M662" s="41">
        <f t="shared" si="668"/>
        <v>0</v>
      </c>
      <c r="N662" s="1"/>
      <c r="O662" s="1"/>
      <c r="P662" s="1"/>
      <c r="Q662" s="1"/>
      <c r="R662" s="1"/>
      <c r="S662" s="1"/>
      <c r="T662" s="1" t="s">
        <v>3</v>
      </c>
      <c r="U662" s="6">
        <v>17</v>
      </c>
      <c r="AF662" s="7"/>
      <c r="AN662" s="1"/>
    </row>
    <row r="663" spans="2:40" ht="12.75" customHeight="1" x14ac:dyDescent="0.15">
      <c r="D663" s="188" t="s">
        <v>3</v>
      </c>
      <c r="E663" s="190"/>
      <c r="F663" s="22">
        <f>G663+H663+I663</f>
        <v>17</v>
      </c>
      <c r="G663" s="23">
        <v>2</v>
      </c>
      <c r="H663" s="23">
        <v>7</v>
      </c>
      <c r="I663" s="24">
        <v>8</v>
      </c>
      <c r="J663" s="22">
        <f>K663+L663+M663</f>
        <v>24</v>
      </c>
      <c r="K663" s="23">
        <v>4</v>
      </c>
      <c r="L663" s="23">
        <v>7</v>
      </c>
      <c r="M663" s="23">
        <v>13</v>
      </c>
      <c r="N663" s="1"/>
      <c r="O663" s="1"/>
      <c r="P663" s="1"/>
      <c r="Q663" s="1"/>
      <c r="R663" s="1"/>
      <c r="S663" s="1"/>
      <c r="T663" s="1" t="s">
        <v>4</v>
      </c>
      <c r="U663" s="6">
        <v>143</v>
      </c>
      <c r="AF663" s="7"/>
      <c r="AN663" s="1"/>
    </row>
    <row r="664" spans="2:40" ht="12.75" customHeight="1" x14ac:dyDescent="0.15">
      <c r="D664" s="191"/>
      <c r="E664" s="193"/>
      <c r="F664" s="40">
        <f>ROUND(F663/(F$661+F$663+F$665+F$667+F$669),3)</f>
        <v>3.9E-2</v>
      </c>
      <c r="G664" s="41">
        <f t="shared" ref="G664" si="669">ROUND(G663/(G$661+G$663+G$665+G$667+G$669),3)</f>
        <v>3.6999999999999998E-2</v>
      </c>
      <c r="H664" s="41">
        <f t="shared" ref="H664" si="670">ROUND(H663/(H$661+H$663+H$665+H$667+H$669),3)</f>
        <v>0.111</v>
      </c>
      <c r="I664" s="42">
        <f t="shared" ref="I664" si="671">ROUND(I663/(I$661+I$663+I$665+I$667+I$669),3)</f>
        <v>2.5000000000000001E-2</v>
      </c>
      <c r="J664" s="40">
        <f>ROUND(J663/(J$661+J$663+J$665+J$667+J$669),3)</f>
        <v>5.0999999999999997E-2</v>
      </c>
      <c r="K664" s="41">
        <f t="shared" ref="K664:M664" si="672">ROUND(K663/(K$661+K$663+K$665+K$667+K$669),3)</f>
        <v>6.2E-2</v>
      </c>
      <c r="L664" s="41">
        <f t="shared" si="672"/>
        <v>0.10299999999999999</v>
      </c>
      <c r="M664" s="41">
        <f t="shared" si="672"/>
        <v>3.7999999999999999E-2</v>
      </c>
      <c r="N664" s="1"/>
      <c r="O664" s="1"/>
      <c r="P664" s="1"/>
      <c r="Q664" s="1"/>
      <c r="R664" s="1"/>
      <c r="S664" s="1"/>
      <c r="T664" s="1" t="s">
        <v>5</v>
      </c>
      <c r="U664" s="6">
        <v>92</v>
      </c>
      <c r="AF664" s="7"/>
      <c r="AN664" s="1"/>
    </row>
    <row r="665" spans="2:40" ht="12.75" customHeight="1" x14ac:dyDescent="0.15">
      <c r="D665" s="188" t="s">
        <v>4</v>
      </c>
      <c r="E665" s="190"/>
      <c r="F665" s="22">
        <f>G665+H665+I665</f>
        <v>143</v>
      </c>
      <c r="G665" s="23">
        <v>11</v>
      </c>
      <c r="H665" s="23">
        <v>38</v>
      </c>
      <c r="I665" s="24">
        <v>94</v>
      </c>
      <c r="J665" s="22">
        <f>K665+L665+M665</f>
        <v>130</v>
      </c>
      <c r="K665" s="23">
        <v>11</v>
      </c>
      <c r="L665" s="23">
        <v>30</v>
      </c>
      <c r="M665" s="23">
        <v>89</v>
      </c>
      <c r="N665" s="1"/>
      <c r="O665" s="1"/>
      <c r="P665" s="1"/>
      <c r="Q665" s="1"/>
      <c r="R665" s="1"/>
      <c r="S665" s="1"/>
      <c r="T665" s="1" t="s">
        <v>114</v>
      </c>
      <c r="U665" s="6">
        <v>188</v>
      </c>
      <c r="AF665" s="7"/>
      <c r="AN665" s="1"/>
    </row>
    <row r="666" spans="2:40" ht="12.75" customHeight="1" x14ac:dyDescent="0.15">
      <c r="D666" s="191"/>
      <c r="E666" s="193"/>
      <c r="F666" s="40">
        <f>ROUND(F665/(F$661+F$663+F$665+F$667+F$669),3)</f>
        <v>0.32400000000000001</v>
      </c>
      <c r="G666" s="41">
        <f t="shared" ref="G666" si="673">ROUND(G665/(G$661+G$663+G$665+G$667+G$669),3)</f>
        <v>0.20399999999999999</v>
      </c>
      <c r="H666" s="41">
        <f t="shared" ref="H666" si="674">ROUND(H665/(H$661+H$663+H$665+H$667+H$669),3)</f>
        <v>0.60299999999999998</v>
      </c>
      <c r="I666" s="42">
        <f t="shared" ref="I666" si="675">ROUND(I665/(I$661+I$663+I$665+I$667+I$669),3)</f>
        <v>0.28999999999999998</v>
      </c>
      <c r="J666" s="40">
        <f>ROUND(J665/(J$661+J$663+J$665+J$667+J$669),3)</f>
        <v>0.27400000000000002</v>
      </c>
      <c r="K666" s="41">
        <f t="shared" ref="K666:M666" si="676">ROUND(K665/(K$661+K$663+K$665+K$667+K$669),3)</f>
        <v>0.16900000000000001</v>
      </c>
      <c r="L666" s="41">
        <f t="shared" si="676"/>
        <v>0.441</v>
      </c>
      <c r="M666" s="41">
        <f t="shared" si="676"/>
        <v>0.26100000000000001</v>
      </c>
      <c r="N666" s="1"/>
      <c r="O666" s="1"/>
      <c r="P666" s="1"/>
      <c r="Q666" s="1"/>
      <c r="R666" s="1"/>
      <c r="S666" s="1"/>
      <c r="AF666" s="7"/>
      <c r="AN666" s="1"/>
    </row>
    <row r="667" spans="2:40" ht="12.75" customHeight="1" x14ac:dyDescent="0.15">
      <c r="D667" s="188" t="s">
        <v>5</v>
      </c>
      <c r="E667" s="190"/>
      <c r="F667" s="22">
        <f>G667+H667+I667</f>
        <v>92</v>
      </c>
      <c r="G667" s="23">
        <v>10</v>
      </c>
      <c r="H667" s="23">
        <v>9</v>
      </c>
      <c r="I667" s="24">
        <v>73</v>
      </c>
      <c r="J667" s="22">
        <f>K667+L667+M667</f>
        <v>127</v>
      </c>
      <c r="K667" s="23">
        <v>21</v>
      </c>
      <c r="L667" s="23">
        <v>16</v>
      </c>
      <c r="M667" s="23">
        <v>90</v>
      </c>
      <c r="N667" s="1"/>
      <c r="O667" s="1"/>
      <c r="P667" s="1"/>
      <c r="Q667" s="1"/>
      <c r="R667" s="1"/>
      <c r="S667" s="1"/>
      <c r="AF667" s="7"/>
      <c r="AN667" s="1"/>
    </row>
    <row r="668" spans="2:40" ht="12.75" customHeight="1" x14ac:dyDescent="0.15">
      <c r="D668" s="191"/>
      <c r="E668" s="193"/>
      <c r="F668" s="40">
        <f>ROUND(F667/(F$661+F$663+F$665+F$667+F$669),3)</f>
        <v>0.20899999999999999</v>
      </c>
      <c r="G668" s="41">
        <f t="shared" ref="G668" si="677">ROUND(G667/(G$661+G$663+G$665+G$667+G$669),3)</f>
        <v>0.185</v>
      </c>
      <c r="H668" s="41">
        <f t="shared" ref="H668" si="678">ROUND(H667/(H$661+H$663+H$665+H$667+H$669),3)</f>
        <v>0.14299999999999999</v>
      </c>
      <c r="I668" s="42">
        <f t="shared" ref="I668" si="679">ROUND(I667/(I$661+I$663+I$665+I$667+I$669),3)</f>
        <v>0.22500000000000001</v>
      </c>
      <c r="J668" s="40">
        <f>ROUND(J667/(J$661+J$663+J$665+J$667+J$669),3)</f>
        <v>0.26800000000000002</v>
      </c>
      <c r="K668" s="41">
        <f t="shared" ref="K668:M668" si="680">ROUND(K667/(K$661+K$663+K$665+K$667+K$669),3)</f>
        <v>0.32300000000000001</v>
      </c>
      <c r="L668" s="41">
        <f t="shared" si="680"/>
        <v>0.23499999999999999</v>
      </c>
      <c r="M668" s="41">
        <f t="shared" si="680"/>
        <v>0.26400000000000001</v>
      </c>
      <c r="N668" s="1"/>
      <c r="O668" s="1"/>
      <c r="P668" s="1"/>
      <c r="Q668" s="1"/>
      <c r="R668" s="1"/>
      <c r="S668" s="1"/>
      <c r="AF668" s="7"/>
      <c r="AN668" s="1"/>
    </row>
    <row r="669" spans="2:40" ht="12.75" customHeight="1" x14ac:dyDescent="0.15">
      <c r="D669" s="188" t="s">
        <v>114</v>
      </c>
      <c r="E669" s="190"/>
      <c r="F669" s="22">
        <f>G669+H669+I669</f>
        <v>188</v>
      </c>
      <c r="G669" s="23">
        <v>31</v>
      </c>
      <c r="H669" s="23">
        <v>9</v>
      </c>
      <c r="I669" s="24">
        <v>148</v>
      </c>
      <c r="J669" s="22">
        <f>K669+L669+M669</f>
        <v>190</v>
      </c>
      <c r="K669" s="23">
        <v>29</v>
      </c>
      <c r="L669" s="23">
        <v>12</v>
      </c>
      <c r="M669" s="23">
        <v>149</v>
      </c>
      <c r="N669" s="1"/>
      <c r="O669" s="1"/>
      <c r="P669" s="1"/>
      <c r="Q669" s="1"/>
      <c r="R669" s="1"/>
      <c r="S669" s="1"/>
      <c r="AF669" s="7"/>
      <c r="AN669" s="1"/>
    </row>
    <row r="670" spans="2:40" ht="12.75" customHeight="1" x14ac:dyDescent="0.15">
      <c r="D670" s="191"/>
      <c r="E670" s="193"/>
      <c r="F670" s="40">
        <f>ROUND(F669/(F$661+F$663+F$665+F$667+F$669),3)</f>
        <v>0.42599999999999999</v>
      </c>
      <c r="G670" s="41">
        <f t="shared" ref="G670" si="681">ROUND(G669/(G$661+G$663+G$665+G$667+G$669),3)</f>
        <v>0.57399999999999995</v>
      </c>
      <c r="H670" s="41">
        <f>ROUND(H669/(H$661+H$663+H$665+H$667+H$669),3)+0.001</f>
        <v>0.14399999999999999</v>
      </c>
      <c r="I670" s="42">
        <f t="shared" ref="I670" si="682">ROUND(I669/(I$661+I$663+I$665+I$667+I$669),3)</f>
        <v>0.45700000000000002</v>
      </c>
      <c r="J670" s="40">
        <f>ROUND(J669/(J$661+J$663+J$665+J$667+J$669),3)</f>
        <v>0.40100000000000002</v>
      </c>
      <c r="K670" s="41">
        <f t="shared" ref="K670" si="683">ROUND(K669/(K$661+K$663+K$665+K$667+K$669),3)</f>
        <v>0.44600000000000001</v>
      </c>
      <c r="L670" s="41">
        <f>ROUND(L669/(L$661+L$663+L$665+L$667+L$669),3)+0.001</f>
        <v>0.17699999999999999</v>
      </c>
      <c r="M670" s="41">
        <f t="shared" ref="M670" si="684">ROUND(M669/(M$661+M$663+M$665+M$667+M$669),3)</f>
        <v>0.437</v>
      </c>
      <c r="N670" s="1"/>
      <c r="O670" s="1"/>
      <c r="P670" s="1"/>
      <c r="Q670" s="1"/>
      <c r="R670" s="1"/>
      <c r="S670" s="1"/>
      <c r="AF670" s="7"/>
      <c r="AN670" s="1"/>
    </row>
    <row r="671" spans="2:40" ht="12.75" customHeight="1" x14ac:dyDescent="0.15">
      <c r="D671" s="203" t="s">
        <v>20</v>
      </c>
      <c r="E671" s="248"/>
      <c r="F671" s="22">
        <f>F661+F663+F665+F667+F669</f>
        <v>441</v>
      </c>
      <c r="G671" s="23">
        <f t="shared" ref="G671:I671" si="685">G661+G663+G665+G667+G669</f>
        <v>54</v>
      </c>
      <c r="H671" s="23">
        <f t="shared" si="685"/>
        <v>63</v>
      </c>
      <c r="I671" s="24">
        <f t="shared" si="685"/>
        <v>324</v>
      </c>
      <c r="J671" s="22">
        <f>J661+J663+J665+J667+J669</f>
        <v>474</v>
      </c>
      <c r="K671" s="23">
        <f t="shared" ref="K671:M671" si="686">K661+K663+K665+K667+K669</f>
        <v>65</v>
      </c>
      <c r="L671" s="23">
        <f t="shared" si="686"/>
        <v>68</v>
      </c>
      <c r="M671" s="23">
        <f t="shared" si="686"/>
        <v>341</v>
      </c>
      <c r="N671" s="57"/>
      <c r="O671" s="57"/>
      <c r="P671" s="57"/>
      <c r="Q671" s="57"/>
      <c r="R671" s="50"/>
      <c r="S671" s="50"/>
      <c r="T671" s="34"/>
      <c r="U671" s="35"/>
      <c r="V671" s="34"/>
      <c r="W671" s="36"/>
      <c r="X671" s="36"/>
      <c r="Y671" s="36"/>
      <c r="Z671" s="36"/>
      <c r="AA671" s="36"/>
      <c r="AB671" s="36"/>
    </row>
    <row r="672" spans="2:40" ht="12.75" customHeight="1" thickBot="1" x14ac:dyDescent="0.2">
      <c r="D672" s="210"/>
      <c r="E672" s="249"/>
      <c r="F672" s="133">
        <f>F662+F664+F666+F668+F670</f>
        <v>1</v>
      </c>
      <c r="G672" s="134">
        <f t="shared" ref="G672:I672" si="687">G662+G664+G666+G668+G670</f>
        <v>1</v>
      </c>
      <c r="H672" s="134">
        <f t="shared" si="687"/>
        <v>1.0009999999999999</v>
      </c>
      <c r="I672" s="135">
        <f t="shared" si="687"/>
        <v>1</v>
      </c>
      <c r="J672" s="137">
        <f>J662+J664+J666+J668+J670</f>
        <v>1</v>
      </c>
      <c r="K672" s="136">
        <f t="shared" ref="K672:M672" si="688">K662+K664+K666+K668+K670</f>
        <v>1</v>
      </c>
      <c r="L672" s="136">
        <f t="shared" si="688"/>
        <v>1</v>
      </c>
      <c r="M672" s="136">
        <f t="shared" si="688"/>
        <v>1</v>
      </c>
      <c r="N672" s="57"/>
      <c r="O672" s="57"/>
      <c r="P672" s="57"/>
      <c r="Q672" s="57"/>
      <c r="R672" s="50"/>
      <c r="S672" s="50"/>
      <c r="T672" s="34"/>
      <c r="U672" s="35"/>
      <c r="V672" s="34"/>
      <c r="W672" s="36"/>
      <c r="X672" s="36"/>
      <c r="Y672" s="173"/>
      <c r="Z672" s="172"/>
      <c r="AA672" s="172"/>
      <c r="AB672" s="172"/>
    </row>
    <row r="673" spans="2:40" x14ac:dyDescent="0.15">
      <c r="D673" s="82"/>
      <c r="E673" s="129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0"/>
      <c r="S673" s="50"/>
      <c r="T673" s="34"/>
      <c r="U673" s="35"/>
      <c r="V673" s="34"/>
      <c r="W673" s="173"/>
      <c r="X673" s="173"/>
      <c r="Y673" s="173"/>
      <c r="Z673" s="172"/>
      <c r="AA673" s="172"/>
      <c r="AB673" s="172"/>
    </row>
    <row r="674" spans="2:40" x14ac:dyDescent="0.15">
      <c r="D674" s="82"/>
      <c r="E674" s="129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0"/>
      <c r="S674" s="50"/>
      <c r="T674" s="34"/>
      <c r="U674" s="35"/>
      <c r="V674" s="34"/>
      <c r="W674" s="173"/>
      <c r="X674" s="173"/>
      <c r="Y674" s="173"/>
      <c r="Z674" s="172"/>
      <c r="AA674" s="172"/>
      <c r="AB674" s="172"/>
    </row>
    <row r="675" spans="2:40" x14ac:dyDescent="0.15">
      <c r="D675" s="82"/>
      <c r="E675" s="129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0"/>
      <c r="S675" s="50"/>
      <c r="T675" s="34"/>
      <c r="U675" s="35"/>
      <c r="V675" s="34"/>
      <c r="W675" s="173"/>
      <c r="X675" s="173"/>
      <c r="Y675" s="173"/>
      <c r="Z675" s="172"/>
      <c r="AA675" s="172"/>
      <c r="AB675" s="172"/>
    </row>
    <row r="676" spans="2:40" x14ac:dyDescent="0.15">
      <c r="B676" s="3" t="s">
        <v>209</v>
      </c>
      <c r="G676" s="10"/>
      <c r="K676" s="5"/>
      <c r="O676" s="5"/>
      <c r="W676" s="36"/>
      <c r="X676" s="36"/>
      <c r="Y676" s="99"/>
      <c r="Z676" s="99"/>
      <c r="AA676" s="99"/>
      <c r="AB676" s="99"/>
    </row>
    <row r="677" spans="2:40" ht="14.25" thickBot="1" x14ac:dyDescent="0.2">
      <c r="B677" s="3"/>
      <c r="C677" s="2" t="s">
        <v>155</v>
      </c>
      <c r="G677" s="10"/>
      <c r="K677" s="5"/>
      <c r="O677" s="5"/>
      <c r="W677" s="36"/>
      <c r="X677" s="36"/>
      <c r="Y677" s="57"/>
      <c r="Z677" s="57"/>
      <c r="AA677" s="57"/>
      <c r="AB677" s="57"/>
    </row>
    <row r="678" spans="2:40" ht="12.75" customHeight="1" x14ac:dyDescent="0.15">
      <c r="D678" s="70"/>
      <c r="E678" s="71"/>
      <c r="F678" s="71"/>
      <c r="G678" s="86"/>
      <c r="H678" s="184" t="s">
        <v>266</v>
      </c>
      <c r="I678" s="185"/>
      <c r="J678" s="185"/>
      <c r="K678" s="186"/>
      <c r="L678" s="178" t="s">
        <v>60</v>
      </c>
      <c r="M678" s="197"/>
      <c r="N678" s="197"/>
      <c r="O678" s="198"/>
      <c r="P678" s="197" t="s">
        <v>261</v>
      </c>
      <c r="Q678" s="204"/>
      <c r="R678" s="204"/>
      <c r="S678" s="205"/>
      <c r="W678" s="36"/>
      <c r="X678" s="36"/>
      <c r="Y678" s="99"/>
      <c r="Z678" s="99"/>
      <c r="AA678" s="99"/>
      <c r="AB678" s="99"/>
      <c r="AL678" s="7"/>
      <c r="AN678" s="1"/>
    </row>
    <row r="679" spans="2:40" ht="12.75" customHeight="1" x14ac:dyDescent="0.15">
      <c r="D679" s="72"/>
      <c r="E679" s="126"/>
      <c r="F679" s="126"/>
      <c r="G679" s="125"/>
      <c r="H679" s="124"/>
      <c r="I679" s="128" t="s">
        <v>11</v>
      </c>
      <c r="J679" s="128" t="s">
        <v>12</v>
      </c>
      <c r="K679" s="39" t="s">
        <v>13</v>
      </c>
      <c r="L679" s="124"/>
      <c r="M679" s="128" t="s">
        <v>11</v>
      </c>
      <c r="N679" s="122" t="s">
        <v>12</v>
      </c>
      <c r="O679" s="122" t="s">
        <v>13</v>
      </c>
      <c r="P679" s="15"/>
      <c r="Q679" s="122" t="s">
        <v>11</v>
      </c>
      <c r="R679" s="122" t="s">
        <v>12</v>
      </c>
      <c r="S679" s="122" t="s">
        <v>13</v>
      </c>
      <c r="W679" s="36"/>
      <c r="X679" s="36"/>
      <c r="Y679" s="57"/>
      <c r="Z679" s="57"/>
      <c r="AA679" s="57"/>
      <c r="AB679" s="57"/>
      <c r="AL679" s="7"/>
      <c r="AN679" s="1"/>
    </row>
    <row r="680" spans="2:40" ht="12.75" customHeight="1" x14ac:dyDescent="0.15">
      <c r="D680" s="257" t="s">
        <v>56</v>
      </c>
      <c r="E680" s="258"/>
      <c r="F680" s="258"/>
      <c r="G680" s="265"/>
      <c r="H680" s="22">
        <f>I680+J680+K680</f>
        <v>294</v>
      </c>
      <c r="I680" s="23">
        <v>27</v>
      </c>
      <c r="J680" s="23">
        <v>76</v>
      </c>
      <c r="K680" s="24">
        <v>191</v>
      </c>
      <c r="L680" s="22">
        <f>M680+N680+O680</f>
        <v>319</v>
      </c>
      <c r="M680" s="23">
        <v>39</v>
      </c>
      <c r="N680" s="23">
        <v>82</v>
      </c>
      <c r="O680" s="23">
        <v>198</v>
      </c>
      <c r="P680" s="25">
        <f>Q680+R680+S680</f>
        <v>250</v>
      </c>
      <c r="Q680" s="23">
        <v>29</v>
      </c>
      <c r="R680" s="23">
        <v>66</v>
      </c>
      <c r="S680" s="23">
        <v>155</v>
      </c>
      <c r="W680" s="36"/>
      <c r="X680" s="36"/>
      <c r="Y680" s="99"/>
      <c r="Z680" s="99"/>
      <c r="AA680" s="99"/>
      <c r="AB680" s="99"/>
      <c r="AL680" s="7"/>
      <c r="AN680" s="1"/>
    </row>
    <row r="681" spans="2:40" ht="12.75" customHeight="1" x14ac:dyDescent="0.15">
      <c r="D681" s="259"/>
      <c r="E681" s="260"/>
      <c r="F681" s="260"/>
      <c r="G681" s="266"/>
      <c r="H681" s="40">
        <f>ROUND(H680/(H$680+H$682+H$684+H$686+H$688+H$690+H$692+H$694+H$696),3)</f>
        <v>0.36199999999999999</v>
      </c>
      <c r="I681" s="41">
        <f>ROUND(I680/(I$680+I$682+I$684+I$686+I$688+I$690+I$692+I$694+I$696),3)-0.001</f>
        <v>0.374</v>
      </c>
      <c r="J681" s="41">
        <f t="shared" ref="J681" si="689">ROUND(J680/(J$680+J$682+J$684+J$686+J$688+J$690+J$692+J$694+J$696),3)</f>
        <v>0.33900000000000002</v>
      </c>
      <c r="K681" s="42">
        <f>ROUND(K680/(K$680+K$682+K$684+K$686+K$688+K$690+K$692+K$694+K$696),3)-0.001</f>
        <v>0.36799999999999999</v>
      </c>
      <c r="L681" s="40">
        <f>ROUND(L680/(L$680+L$682+L$684+L$686+L$688+L$690+L$692+L$694+L$696),3)</f>
        <v>0.375</v>
      </c>
      <c r="M681" s="41">
        <f>ROUND(M680/(M$680+M$682+M$684+M$686+M$688+M$690+M$692+M$694+M$696),3)-0.001</f>
        <v>0.42799999999999999</v>
      </c>
      <c r="N681" s="41">
        <f t="shared" ref="N681" si="690">ROUND(N680/(N$680+N$682+N$684+N$686+N$688+N$690+N$692+N$694+N$696),3)</f>
        <v>0.34</v>
      </c>
      <c r="O681" s="41">
        <f>ROUND(O680/(O$680+O$682+O$684+O$686+O$688+O$690+O$692+O$694+O$696),3)-0.001</f>
        <v>0.38100000000000001</v>
      </c>
      <c r="P681" s="43">
        <f>ROUND(P680/(P$680+P$684+P$686+P$688+P$690+P$692+P$694+P$698),3)</f>
        <v>0.318</v>
      </c>
      <c r="Q681" s="41">
        <f>ROUND(Q680/(Q$680+Q$684+Q$686+Q$688+Q$690+Q$692+Q$694+Q$698),3)</f>
        <v>0.439</v>
      </c>
      <c r="R681" s="41">
        <f>ROUND(R680/(R$680+R$684+R$686+R$688+R$690+R$692+R$694+R$698),3)</f>
        <v>0.25800000000000001</v>
      </c>
      <c r="S681" s="41">
        <f>ROUND(S680/(S$680+S$684+S$686+S$688+S$690+S$692+S$694+S$698),3)</f>
        <v>0.33300000000000002</v>
      </c>
      <c r="W681" s="36"/>
      <c r="X681" s="36"/>
      <c r="Y681" s="57"/>
      <c r="Z681" s="57"/>
      <c r="AA681" s="57"/>
      <c r="AB681" s="57"/>
      <c r="AL681" s="7"/>
      <c r="AN681" s="1"/>
    </row>
    <row r="682" spans="2:40" ht="12.75" customHeight="1" x14ac:dyDescent="0.15">
      <c r="D682" s="257" t="s">
        <v>121</v>
      </c>
      <c r="E682" s="258"/>
      <c r="F682" s="258"/>
      <c r="G682" s="265"/>
      <c r="H682" s="22">
        <f>I682+J682+K682</f>
        <v>120</v>
      </c>
      <c r="I682" s="23">
        <v>19</v>
      </c>
      <c r="J682" s="23">
        <v>34</v>
      </c>
      <c r="K682" s="24">
        <v>67</v>
      </c>
      <c r="L682" s="22">
        <f>M682+N682+O682</f>
        <v>128</v>
      </c>
      <c r="M682" s="23">
        <v>26</v>
      </c>
      <c r="N682" s="23">
        <v>42</v>
      </c>
      <c r="O682" s="23">
        <v>60</v>
      </c>
      <c r="P682" s="199" t="s">
        <v>262</v>
      </c>
      <c r="Q682" s="201" t="s">
        <v>263</v>
      </c>
      <c r="R682" s="201" t="s">
        <v>7</v>
      </c>
      <c r="S682" s="201" t="s">
        <v>262</v>
      </c>
      <c r="W682" s="36"/>
      <c r="X682" s="36"/>
      <c r="Y682" s="99"/>
      <c r="Z682" s="99"/>
      <c r="AA682" s="99"/>
      <c r="AB682" s="99"/>
      <c r="AL682" s="7"/>
      <c r="AN682" s="1"/>
    </row>
    <row r="683" spans="2:40" ht="12.75" customHeight="1" x14ac:dyDescent="0.15">
      <c r="D683" s="259"/>
      <c r="E683" s="260"/>
      <c r="F683" s="260"/>
      <c r="G683" s="266"/>
      <c r="H683" s="40">
        <f>ROUND(H682/(H$680+H$682+H$684+H$686+H$688+H$690+H$692+H$694+H$696),3)</f>
        <v>0.14799999999999999</v>
      </c>
      <c r="I683" s="41">
        <f t="shared" ref="I683" si="691">ROUND(I682/(I$680+I$682+I$684+I$686+I$688+I$690+I$692+I$694+I$696),3)</f>
        <v>0.26400000000000001</v>
      </c>
      <c r="J683" s="41">
        <f t="shared" ref="J683" si="692">ROUND(J682/(J$680+J$682+J$684+J$686+J$688+J$690+J$692+J$694+J$696),3)</f>
        <v>0.152</v>
      </c>
      <c r="K683" s="42">
        <f t="shared" ref="K683" si="693">ROUND(K682/(K$680+K$682+K$684+K$686+K$688+K$690+K$692+K$694+K$696),3)</f>
        <v>0.13</v>
      </c>
      <c r="L683" s="40">
        <f>ROUND(L682/(L$680+L$682+L$684+L$686+L$688+L$690+L$692+L$694+L$696),3)</f>
        <v>0.15</v>
      </c>
      <c r="M683" s="41">
        <f t="shared" ref="M683:O683" si="694">ROUND(M682/(M$680+M$682+M$684+M$686+M$688+M$690+M$692+M$694+M$696),3)</f>
        <v>0.28599999999999998</v>
      </c>
      <c r="N683" s="41">
        <f t="shared" si="694"/>
        <v>0.17399999999999999</v>
      </c>
      <c r="O683" s="41">
        <f t="shared" si="694"/>
        <v>0.11600000000000001</v>
      </c>
      <c r="P683" s="200"/>
      <c r="Q683" s="202"/>
      <c r="R683" s="202"/>
      <c r="S683" s="202"/>
      <c r="W683" s="36"/>
      <c r="X683" s="36"/>
      <c r="Y683" s="57"/>
      <c r="Z683" s="57"/>
      <c r="AA683" s="57"/>
      <c r="AB683" s="57"/>
      <c r="AL683" s="7"/>
      <c r="AN683" s="1"/>
    </row>
    <row r="684" spans="2:40" ht="12.75" customHeight="1" x14ac:dyDescent="0.15">
      <c r="D684" s="257" t="s">
        <v>117</v>
      </c>
      <c r="E684" s="258"/>
      <c r="F684" s="258"/>
      <c r="G684" s="265"/>
      <c r="H684" s="22">
        <f>I684+J684+K684</f>
        <v>112</v>
      </c>
      <c r="I684" s="23">
        <v>4</v>
      </c>
      <c r="J684" s="23">
        <v>32</v>
      </c>
      <c r="K684" s="24">
        <v>76</v>
      </c>
      <c r="L684" s="22">
        <f>M684+N684+O684</f>
        <v>115</v>
      </c>
      <c r="M684" s="23">
        <v>5</v>
      </c>
      <c r="N684" s="23">
        <v>32</v>
      </c>
      <c r="O684" s="23">
        <v>78</v>
      </c>
      <c r="P684" s="25">
        <f>Q684+R684+S684</f>
        <v>86</v>
      </c>
      <c r="Q684" s="23">
        <v>5</v>
      </c>
      <c r="R684" s="23">
        <v>30</v>
      </c>
      <c r="S684" s="23">
        <v>51</v>
      </c>
      <c r="W684" s="36"/>
      <c r="X684" s="36"/>
      <c r="Y684" s="99"/>
      <c r="Z684" s="99"/>
      <c r="AA684" s="99"/>
      <c r="AB684" s="99"/>
      <c r="AL684" s="7"/>
      <c r="AN684" s="1"/>
    </row>
    <row r="685" spans="2:40" ht="12.75" customHeight="1" x14ac:dyDescent="0.15">
      <c r="D685" s="259"/>
      <c r="E685" s="260"/>
      <c r="F685" s="260"/>
      <c r="G685" s="266"/>
      <c r="H685" s="40">
        <f>ROUND(H684/(H$680+H$682+H$684+H$686+H$688+H$690+H$692+H$694+H$696),3)</f>
        <v>0.13800000000000001</v>
      </c>
      <c r="I685" s="41">
        <f t="shared" ref="I685" si="695">ROUND(I684/(I$680+I$682+I$684+I$686+I$688+I$690+I$692+I$694+I$696),3)</f>
        <v>5.6000000000000001E-2</v>
      </c>
      <c r="J685" s="41">
        <f t="shared" ref="J685" si="696">ROUND(J684/(J$680+J$682+J$684+J$686+J$688+J$690+J$692+J$694+J$696),3)</f>
        <v>0.14299999999999999</v>
      </c>
      <c r="K685" s="42">
        <f t="shared" ref="K685" si="697">ROUND(K684/(K$680+K$682+K$684+K$686+K$688+K$690+K$692+K$694+K$696),3)</f>
        <v>0.14699999999999999</v>
      </c>
      <c r="L685" s="40">
        <f>ROUND(L684/(L$680+L$682+L$684+L$686+L$688+L$690+L$692+L$694+L$696),3)</f>
        <v>0.13500000000000001</v>
      </c>
      <c r="M685" s="41">
        <f t="shared" ref="M685:O685" si="698">ROUND(M684/(M$680+M$682+M$684+M$686+M$688+M$690+M$692+M$694+M$696),3)</f>
        <v>5.5E-2</v>
      </c>
      <c r="N685" s="41">
        <f t="shared" si="698"/>
        <v>0.13300000000000001</v>
      </c>
      <c r="O685" s="41">
        <f t="shared" si="698"/>
        <v>0.15</v>
      </c>
      <c r="P685" s="43">
        <f>ROUND(P684/(P$680+P$684+P$686+P$688+P$690+P$692+P$694+P$698),3)</f>
        <v>0.109</v>
      </c>
      <c r="Q685" s="41">
        <f>ROUND(Q684/(Q$680+Q$684+Q$686+Q$688+Q$690+Q$692+Q$694+Q$698),3)</f>
        <v>7.5999999999999998E-2</v>
      </c>
      <c r="R685" s="41">
        <f>ROUND(R684/(R$680+R$684+R$686+R$688+R$690+R$692+R$694+R$698),3)</f>
        <v>0.11700000000000001</v>
      </c>
      <c r="S685" s="41">
        <f>ROUND(S684/(S$680+S$684+S$686+S$688+S$690+S$692+S$694+S$698),3)</f>
        <v>0.11</v>
      </c>
      <c r="W685" s="36"/>
      <c r="X685" s="36"/>
      <c r="Y685" s="57"/>
      <c r="Z685" s="57"/>
      <c r="AA685" s="57"/>
      <c r="AB685" s="57"/>
      <c r="AL685" s="7"/>
      <c r="AN685" s="1"/>
    </row>
    <row r="686" spans="2:40" ht="12.75" customHeight="1" x14ac:dyDescent="0.15">
      <c r="D686" s="257" t="s">
        <v>116</v>
      </c>
      <c r="E686" s="258"/>
      <c r="F686" s="258"/>
      <c r="G686" s="265"/>
      <c r="H686" s="22">
        <f>I686+J686+K686</f>
        <v>99</v>
      </c>
      <c r="I686" s="23">
        <v>6</v>
      </c>
      <c r="J686" s="23">
        <v>33</v>
      </c>
      <c r="K686" s="24">
        <v>60</v>
      </c>
      <c r="L686" s="22">
        <f>M686+N686+O686</f>
        <v>108</v>
      </c>
      <c r="M686" s="23">
        <v>15</v>
      </c>
      <c r="N686" s="23">
        <v>36</v>
      </c>
      <c r="O686" s="23">
        <v>57</v>
      </c>
      <c r="P686" s="25">
        <f>Q686+R686+S686</f>
        <v>98</v>
      </c>
      <c r="Q686" s="23">
        <v>5</v>
      </c>
      <c r="R686" s="23">
        <v>38</v>
      </c>
      <c r="S686" s="23">
        <v>55</v>
      </c>
      <c r="W686" s="36"/>
      <c r="X686" s="36"/>
      <c r="Y686" s="99"/>
      <c r="Z686" s="99"/>
      <c r="AA686" s="99"/>
      <c r="AB686" s="99"/>
      <c r="AL686" s="7"/>
      <c r="AN686" s="1"/>
    </row>
    <row r="687" spans="2:40" ht="12.75" customHeight="1" x14ac:dyDescent="0.15">
      <c r="D687" s="259"/>
      <c r="E687" s="260"/>
      <c r="F687" s="260"/>
      <c r="G687" s="266"/>
      <c r="H687" s="40">
        <f>ROUND(H686/(H$680+H$682+H$684+H$686+H$688+H$690+H$692+H$694+H$696),3)</f>
        <v>0.122</v>
      </c>
      <c r="I687" s="41">
        <f t="shared" ref="I687" si="699">ROUND(I686/(I$680+I$682+I$684+I$686+I$688+I$690+I$692+I$694+I$696),3)</f>
        <v>8.3000000000000004E-2</v>
      </c>
      <c r="J687" s="41">
        <f t="shared" ref="J687" si="700">ROUND(J686/(J$680+J$682+J$684+J$686+J$688+J$690+J$692+J$694+J$696),3)</f>
        <v>0.14699999999999999</v>
      </c>
      <c r="K687" s="42">
        <f t="shared" ref="K687" si="701">ROUND(K686/(K$680+K$682+K$684+K$686+K$688+K$690+K$692+K$694+K$696),3)</f>
        <v>0.11600000000000001</v>
      </c>
      <c r="L687" s="40">
        <f>ROUND(L686/(L$680+L$682+L$684+L$686+L$688+L$690+L$692+L$694+L$696),3)</f>
        <v>0.127</v>
      </c>
      <c r="M687" s="41">
        <f t="shared" ref="M687:O687" si="702">ROUND(M686/(M$680+M$682+M$684+M$686+M$688+M$690+M$692+M$694+M$696),3)</f>
        <v>0.16500000000000001</v>
      </c>
      <c r="N687" s="41">
        <f t="shared" si="702"/>
        <v>0.14899999999999999</v>
      </c>
      <c r="O687" s="41">
        <f t="shared" si="702"/>
        <v>0.11</v>
      </c>
      <c r="P687" s="43">
        <f>ROUND(P686/(P$680+P$684+P$686+P$688+P$690+P$692+P$694+P$698),3)</f>
        <v>0.125</v>
      </c>
      <c r="Q687" s="41">
        <f>ROUND(Q686/(Q$680+Q$684+Q$686+Q$688+Q$690+Q$692+Q$694+Q$698),3)</f>
        <v>7.5999999999999998E-2</v>
      </c>
      <c r="R687" s="41">
        <f>ROUND(R686/(R$680+R$684+R$686+R$688+R$690+R$692+R$694+R$698),3)</f>
        <v>0.14799999999999999</v>
      </c>
      <c r="S687" s="41">
        <f>ROUND(S686/(S$680+S$684+S$686+S$688+S$690+S$692+S$694+S$698),3)</f>
        <v>0.11799999999999999</v>
      </c>
      <c r="W687" s="36"/>
      <c r="X687" s="36"/>
      <c r="Y687" s="57"/>
      <c r="Z687" s="57"/>
      <c r="AA687" s="57"/>
      <c r="AB687" s="57"/>
      <c r="AL687" s="7"/>
      <c r="AN687" s="1"/>
    </row>
    <row r="688" spans="2:40" ht="12.75" customHeight="1" x14ac:dyDescent="0.15">
      <c r="D688" s="257" t="s">
        <v>119</v>
      </c>
      <c r="E688" s="258"/>
      <c r="F688" s="258"/>
      <c r="G688" s="265"/>
      <c r="H688" s="22">
        <f>I688+J688+K688</f>
        <v>46</v>
      </c>
      <c r="I688" s="23">
        <v>2</v>
      </c>
      <c r="J688" s="23">
        <v>8</v>
      </c>
      <c r="K688" s="24">
        <v>36</v>
      </c>
      <c r="L688" s="22">
        <f>M688+N688+O688</f>
        <v>51</v>
      </c>
      <c r="M688" s="23">
        <v>2</v>
      </c>
      <c r="N688" s="23">
        <v>13</v>
      </c>
      <c r="O688" s="23">
        <v>36</v>
      </c>
      <c r="P688" s="25">
        <f>Q688+R688+S688</f>
        <v>24</v>
      </c>
      <c r="Q688" s="23">
        <v>1</v>
      </c>
      <c r="R688" s="23">
        <v>4</v>
      </c>
      <c r="S688" s="23">
        <v>19</v>
      </c>
      <c r="W688" s="36"/>
      <c r="X688" s="36"/>
      <c r="Y688" s="99"/>
      <c r="Z688" s="99"/>
      <c r="AA688" s="99"/>
      <c r="AB688" s="99"/>
      <c r="AL688" s="7"/>
      <c r="AN688" s="1"/>
    </row>
    <row r="689" spans="4:40" ht="12.75" customHeight="1" x14ac:dyDescent="0.15">
      <c r="D689" s="259"/>
      <c r="E689" s="260"/>
      <c r="F689" s="260"/>
      <c r="G689" s="266"/>
      <c r="H689" s="40">
        <f>ROUND(H688/(H$680+H$682+H$684+H$686+H$688+H$690+H$692+H$694+H$696),3)</f>
        <v>5.7000000000000002E-2</v>
      </c>
      <c r="I689" s="41">
        <f t="shared" ref="I689" si="703">ROUND(I688/(I$680+I$682+I$684+I$686+I$688+I$690+I$692+I$694+I$696),3)</f>
        <v>2.8000000000000001E-2</v>
      </c>
      <c r="J689" s="41">
        <f t="shared" ref="J689" si="704">ROUND(J688/(J$680+J$682+J$684+J$686+J$688+J$690+J$692+J$694+J$696),3)</f>
        <v>3.5999999999999997E-2</v>
      </c>
      <c r="K689" s="42">
        <f t="shared" ref="K689" si="705">ROUND(K688/(K$680+K$682+K$684+K$686+K$688+K$690+K$692+K$694+K$696),3)</f>
        <v>7.0000000000000007E-2</v>
      </c>
      <c r="L689" s="40">
        <f>ROUND(L688/(L$680+L$682+L$684+L$686+L$688+L$690+L$692+L$694+L$696),3)</f>
        <v>0.06</v>
      </c>
      <c r="M689" s="41">
        <f t="shared" ref="M689:O689" si="706">ROUND(M688/(M$680+M$682+M$684+M$686+M$688+M$690+M$692+M$694+M$696),3)</f>
        <v>2.1999999999999999E-2</v>
      </c>
      <c r="N689" s="41">
        <f t="shared" si="706"/>
        <v>5.3999999999999999E-2</v>
      </c>
      <c r="O689" s="41">
        <f t="shared" si="706"/>
        <v>6.9000000000000006E-2</v>
      </c>
      <c r="P689" s="43">
        <f>ROUND(P688/(P$680+P$684+P$686+P$688+P$690+P$692+P$694+P$698),3)</f>
        <v>0.03</v>
      </c>
      <c r="Q689" s="41">
        <f>ROUND(Q688/(Q$680+Q$684+Q$686+Q$688+Q$690+Q$692+Q$694+Q$698),3)</f>
        <v>1.4999999999999999E-2</v>
      </c>
      <c r="R689" s="41">
        <f>ROUND(R688/(R$680+R$684+R$686+R$688+R$690+R$692+R$694+R$698),3)</f>
        <v>1.6E-2</v>
      </c>
      <c r="S689" s="41">
        <f>ROUND(S688/(S$680+S$684+S$686+S$688+S$690+S$692+S$694+S$698),3)</f>
        <v>4.1000000000000002E-2</v>
      </c>
      <c r="W689" s="36"/>
      <c r="X689" s="36"/>
      <c r="Y689" s="57"/>
      <c r="Z689" s="57"/>
      <c r="AA689" s="57"/>
      <c r="AB689" s="57"/>
      <c r="AL689" s="7"/>
      <c r="AN689" s="1"/>
    </row>
    <row r="690" spans="4:40" ht="12.75" customHeight="1" x14ac:dyDescent="0.15">
      <c r="D690" s="257" t="s">
        <v>120</v>
      </c>
      <c r="E690" s="258"/>
      <c r="F690" s="258"/>
      <c r="G690" s="265"/>
      <c r="H690" s="22">
        <f>I690+J690+K690</f>
        <v>53</v>
      </c>
      <c r="I690" s="23">
        <v>2</v>
      </c>
      <c r="J690" s="23">
        <v>17</v>
      </c>
      <c r="K690" s="24">
        <v>34</v>
      </c>
      <c r="L690" s="22">
        <f>M690+N690+O690</f>
        <v>46</v>
      </c>
      <c r="M690" s="23">
        <v>0</v>
      </c>
      <c r="N690" s="23">
        <v>12</v>
      </c>
      <c r="O690" s="23">
        <v>34</v>
      </c>
      <c r="P690" s="25">
        <f>Q690+R690+S690</f>
        <v>24</v>
      </c>
      <c r="Q690" s="23">
        <v>1</v>
      </c>
      <c r="R690" s="23">
        <v>12</v>
      </c>
      <c r="S690" s="23">
        <v>11</v>
      </c>
      <c r="AL690" s="7"/>
      <c r="AN690" s="1"/>
    </row>
    <row r="691" spans="4:40" ht="12.75" customHeight="1" x14ac:dyDescent="0.15">
      <c r="D691" s="259"/>
      <c r="E691" s="260"/>
      <c r="F691" s="260"/>
      <c r="G691" s="266"/>
      <c r="H691" s="40">
        <f>ROUND(H690/(H$680+H$682+H$684+H$686+H$688+H$690+H$692+H$694+H$696),3)</f>
        <v>6.5000000000000002E-2</v>
      </c>
      <c r="I691" s="41">
        <f t="shared" ref="I691" si="707">ROUND(I690/(I$680+I$682+I$684+I$686+I$688+I$690+I$692+I$694+I$696),3)</f>
        <v>2.8000000000000001E-2</v>
      </c>
      <c r="J691" s="41">
        <f t="shared" ref="J691" si="708">ROUND(J690/(J$680+J$682+J$684+J$686+J$688+J$690+J$692+J$694+J$696),3)</f>
        <v>7.5999999999999998E-2</v>
      </c>
      <c r="K691" s="42">
        <f t="shared" ref="K691" si="709">ROUND(K690/(K$680+K$682+K$684+K$686+K$688+K$690+K$692+K$694+K$696),3)</f>
        <v>6.6000000000000003E-2</v>
      </c>
      <c r="L691" s="40">
        <f>ROUND(L690/(L$680+L$682+L$684+L$686+L$688+L$690+L$692+L$694+L$696),3)</f>
        <v>5.3999999999999999E-2</v>
      </c>
      <c r="M691" s="41">
        <f t="shared" ref="M691:O691" si="710">ROUND(M690/(M$680+M$682+M$684+M$686+M$688+M$690+M$692+M$694+M$696),3)</f>
        <v>0</v>
      </c>
      <c r="N691" s="41">
        <f t="shared" si="710"/>
        <v>0.05</v>
      </c>
      <c r="O691" s="41">
        <f t="shared" si="710"/>
        <v>6.6000000000000003E-2</v>
      </c>
      <c r="P691" s="43">
        <f>ROUND(P690/(P$680+P$684+P$686+P$688+P$690+P$692+P$694+P$698),3)</f>
        <v>0.03</v>
      </c>
      <c r="Q691" s="41">
        <f>ROUND(Q690/(Q$680+Q$684+Q$686+Q$688+Q$690+Q$692+Q$694+Q$698),3)</f>
        <v>1.4999999999999999E-2</v>
      </c>
      <c r="R691" s="41">
        <f>ROUND(R690/(R$680+R$684+R$686+R$688+R$690+R$692+R$694+R$698),3)</f>
        <v>4.7E-2</v>
      </c>
      <c r="S691" s="41">
        <f>ROUND(S690/(S$680+S$684+S$686+S$688+S$690+S$692+S$694+S$698),3)</f>
        <v>2.4E-2</v>
      </c>
      <c r="AL691" s="7"/>
      <c r="AN691" s="1"/>
    </row>
    <row r="692" spans="4:40" ht="12.75" customHeight="1" x14ac:dyDescent="0.15">
      <c r="D692" s="257" t="s">
        <v>115</v>
      </c>
      <c r="E692" s="258"/>
      <c r="F692" s="258"/>
      <c r="G692" s="265"/>
      <c r="H692" s="22">
        <f>I692+J692+K692</f>
        <v>44</v>
      </c>
      <c r="I692" s="23">
        <v>9</v>
      </c>
      <c r="J692" s="23">
        <v>12</v>
      </c>
      <c r="K692" s="24">
        <v>23</v>
      </c>
      <c r="L692" s="22">
        <f>M692+N692+O692</f>
        <v>44</v>
      </c>
      <c r="M692" s="23">
        <v>4</v>
      </c>
      <c r="N692" s="23">
        <v>13</v>
      </c>
      <c r="O692" s="23">
        <v>27</v>
      </c>
      <c r="P692" s="25">
        <f>Q692+R692+S692</f>
        <v>106</v>
      </c>
      <c r="Q692" s="23">
        <v>18</v>
      </c>
      <c r="R692" s="23">
        <v>24</v>
      </c>
      <c r="S692" s="23">
        <v>64</v>
      </c>
      <c r="AL692" s="7"/>
      <c r="AN692" s="1"/>
    </row>
    <row r="693" spans="4:40" ht="12.75" customHeight="1" x14ac:dyDescent="0.15">
      <c r="D693" s="259"/>
      <c r="E693" s="260"/>
      <c r="F693" s="260"/>
      <c r="G693" s="266"/>
      <c r="H693" s="40">
        <f>ROUND(H692/(H$680+H$682+H$684+H$686+H$688+H$690+H$692+H$694+H$696),3)</f>
        <v>5.3999999999999999E-2</v>
      </c>
      <c r="I693" s="41">
        <f t="shared" ref="I693" si="711">ROUND(I692/(I$680+I$682+I$684+I$686+I$688+I$690+I$692+I$694+I$696),3)</f>
        <v>0.125</v>
      </c>
      <c r="J693" s="41">
        <f t="shared" ref="J693" si="712">ROUND(J692/(J$680+J$682+J$684+J$686+J$688+J$690+J$692+J$694+J$696),3)</f>
        <v>5.3999999999999999E-2</v>
      </c>
      <c r="K693" s="42">
        <f t="shared" ref="K693" si="713">ROUND(K692/(K$680+K$682+K$684+K$686+K$688+K$690+K$692+K$694+K$696),3)</f>
        <v>4.3999999999999997E-2</v>
      </c>
      <c r="L693" s="40">
        <f>ROUND(L692/(L$680+L$682+L$684+L$686+L$688+L$690+L$692+L$694+L$696),3)</f>
        <v>5.1999999999999998E-2</v>
      </c>
      <c r="M693" s="41">
        <f t="shared" ref="M693:O693" si="714">ROUND(M692/(M$680+M$682+M$684+M$686+M$688+M$690+M$692+M$694+M$696),3)</f>
        <v>4.3999999999999997E-2</v>
      </c>
      <c r="N693" s="41">
        <f t="shared" si="714"/>
        <v>5.3999999999999999E-2</v>
      </c>
      <c r="O693" s="41">
        <f t="shared" si="714"/>
        <v>5.1999999999999998E-2</v>
      </c>
      <c r="P693" s="43">
        <f>ROUND(P692/(P$680+P$684+P$686+P$688+P$690+P$692+P$694+P$698),3)</f>
        <v>0.13500000000000001</v>
      </c>
      <c r="Q693" s="41">
        <f>ROUND(Q692/(Q$680+Q$684+Q$686+Q$688+Q$690+Q$692+Q$694+Q$698),3)</f>
        <v>0.27300000000000002</v>
      </c>
      <c r="R693" s="41">
        <f>ROUND(R692/(R$680+R$684+R$686+R$688+R$690+R$692+R$694+R$698),3)</f>
        <v>9.4E-2</v>
      </c>
      <c r="S693" s="41">
        <f>ROUND(S692/(S$680+S$684+S$686+S$688+S$690+S$692+S$694+S$698),3)</f>
        <v>0.13800000000000001</v>
      </c>
      <c r="AL693" s="7"/>
      <c r="AN693" s="1"/>
    </row>
    <row r="694" spans="4:40" ht="12.75" customHeight="1" x14ac:dyDescent="0.15">
      <c r="D694" s="257" t="s">
        <v>118</v>
      </c>
      <c r="E694" s="258"/>
      <c r="F694" s="258"/>
      <c r="G694" s="265"/>
      <c r="H694" s="22">
        <f>I694+J694+K694</f>
        <v>28</v>
      </c>
      <c r="I694" s="23">
        <v>1</v>
      </c>
      <c r="J694" s="23">
        <v>8</v>
      </c>
      <c r="K694" s="24">
        <v>19</v>
      </c>
      <c r="L694" s="22">
        <f>M694+N694+O694</f>
        <v>25</v>
      </c>
      <c r="M694" s="23">
        <v>0</v>
      </c>
      <c r="N694" s="23">
        <v>5</v>
      </c>
      <c r="O694" s="23">
        <v>20</v>
      </c>
      <c r="P694" s="25">
        <f>Q694+R694+S694</f>
        <v>19</v>
      </c>
      <c r="Q694" s="23">
        <v>0</v>
      </c>
      <c r="R694" s="23">
        <v>4</v>
      </c>
      <c r="S694" s="23">
        <v>15</v>
      </c>
      <c r="AL694" s="7"/>
      <c r="AN694" s="1"/>
    </row>
    <row r="695" spans="4:40" ht="12.75" customHeight="1" x14ac:dyDescent="0.15">
      <c r="D695" s="259"/>
      <c r="E695" s="260"/>
      <c r="F695" s="260"/>
      <c r="G695" s="266"/>
      <c r="H695" s="40">
        <f>ROUND(H694/(H$680+H$682+H$684+H$686+H$688+H$690+H$692+H$694+H$696),3)</f>
        <v>3.4000000000000002E-2</v>
      </c>
      <c r="I695" s="41">
        <f t="shared" ref="I695" si="715">ROUND(I694/(I$680+I$682+I$684+I$686+I$688+I$690+I$692+I$694+I$696),3)</f>
        <v>1.4E-2</v>
      </c>
      <c r="J695" s="41">
        <f t="shared" ref="J695" si="716">ROUND(J694/(J$680+J$682+J$684+J$686+J$688+J$690+J$692+J$694+J$696),3)</f>
        <v>3.5999999999999997E-2</v>
      </c>
      <c r="K695" s="42">
        <f t="shared" ref="K695" si="717">ROUND(K694/(K$680+K$682+K$684+K$686+K$688+K$690+K$692+K$694+K$696),3)</f>
        <v>3.6999999999999998E-2</v>
      </c>
      <c r="L695" s="40">
        <f>ROUND(L694/(L$680+L$682+L$684+L$686+L$688+L$690+L$692+L$694+L$696),3)</f>
        <v>2.9000000000000001E-2</v>
      </c>
      <c r="M695" s="41">
        <f t="shared" ref="M695:O695" si="718">ROUND(M694/(M$680+M$682+M$684+M$686+M$688+M$690+M$692+M$694+M$696),3)</f>
        <v>0</v>
      </c>
      <c r="N695" s="41">
        <f t="shared" si="718"/>
        <v>2.1000000000000001E-2</v>
      </c>
      <c r="O695" s="41">
        <f t="shared" si="718"/>
        <v>3.9E-2</v>
      </c>
      <c r="P695" s="43">
        <f>ROUND(P694/(P$680+P$684+P$686+P$688+P$690+P$692+P$694+P$698),3)</f>
        <v>2.4E-2</v>
      </c>
      <c r="Q695" s="41">
        <f>ROUND(Q694/(Q$680+Q$684+Q$686+Q$688+Q$690+Q$692+Q$694+Q$698),3)</f>
        <v>0</v>
      </c>
      <c r="R695" s="41">
        <f>ROUND(R694/(R$680+R$684+R$686+R$688+R$690+R$692+R$694+R$698),3)</f>
        <v>1.6E-2</v>
      </c>
      <c r="S695" s="41">
        <f>ROUND(S694/(S$680+S$684+S$686+S$688+S$690+S$692+S$694+S$698),3)</f>
        <v>3.2000000000000001E-2</v>
      </c>
      <c r="AL695" s="7"/>
      <c r="AN695" s="1"/>
    </row>
    <row r="696" spans="4:40" ht="12.75" customHeight="1" x14ac:dyDescent="0.15">
      <c r="D696" s="257" t="s">
        <v>88</v>
      </c>
      <c r="E696" s="258"/>
      <c r="F696" s="258"/>
      <c r="G696" s="265"/>
      <c r="H696" s="22">
        <f>I696+J696+K696</f>
        <v>17</v>
      </c>
      <c r="I696" s="23">
        <v>2</v>
      </c>
      <c r="J696" s="23">
        <v>4</v>
      </c>
      <c r="K696" s="24">
        <v>11</v>
      </c>
      <c r="L696" s="22">
        <f>M696+N696+O696</f>
        <v>15</v>
      </c>
      <c r="M696" s="23">
        <v>0</v>
      </c>
      <c r="N696" s="23">
        <v>6</v>
      </c>
      <c r="O696" s="23">
        <v>9</v>
      </c>
      <c r="P696" s="199" t="s">
        <v>262</v>
      </c>
      <c r="Q696" s="201" t="s">
        <v>263</v>
      </c>
      <c r="R696" s="201" t="s">
        <v>264</v>
      </c>
      <c r="S696" s="201" t="s">
        <v>7</v>
      </c>
      <c r="AL696" s="7"/>
      <c r="AN696" s="1"/>
    </row>
    <row r="697" spans="4:40" ht="12.75" customHeight="1" x14ac:dyDescent="0.15">
      <c r="D697" s="259"/>
      <c r="E697" s="260"/>
      <c r="F697" s="260"/>
      <c r="G697" s="266"/>
      <c r="H697" s="40">
        <f>ROUND(H696/(H$680+H$682+H$684+H$686+H$688+H$690+H$692+H$694+H$696),3)</f>
        <v>2.1000000000000001E-2</v>
      </c>
      <c r="I697" s="41">
        <f t="shared" ref="I697" si="719">ROUND(I696/(I$680+I$682+I$684+I$686+I$688+I$690+I$692+I$694+I$696),3)</f>
        <v>2.8000000000000001E-2</v>
      </c>
      <c r="J697" s="41">
        <f t="shared" ref="J697" si="720">ROUND(J696/(J$680+J$682+J$684+J$686+J$688+J$690+J$692+J$694+J$696),3)</f>
        <v>1.7999999999999999E-2</v>
      </c>
      <c r="K697" s="42">
        <f t="shared" ref="K697" si="721">ROUND(K696/(K$680+K$682+K$684+K$686+K$688+K$690+K$692+K$694+K$696),3)</f>
        <v>2.1000000000000001E-2</v>
      </c>
      <c r="L697" s="40">
        <f>ROUND(L696/(L$680+L$682+L$684+L$686+L$688+L$690+L$692+L$694+L$696),3)</f>
        <v>1.7999999999999999E-2</v>
      </c>
      <c r="M697" s="41">
        <f t="shared" ref="M697:O697" si="722">ROUND(M696/(M$680+M$682+M$684+M$686+M$688+M$690+M$692+M$694+M$696),3)</f>
        <v>0</v>
      </c>
      <c r="N697" s="41">
        <f t="shared" si="722"/>
        <v>2.5000000000000001E-2</v>
      </c>
      <c r="O697" s="41">
        <f t="shared" si="722"/>
        <v>1.7000000000000001E-2</v>
      </c>
      <c r="P697" s="200"/>
      <c r="Q697" s="202"/>
      <c r="R697" s="202"/>
      <c r="S697" s="202"/>
      <c r="AL697" s="7"/>
      <c r="AN697" s="1"/>
    </row>
    <row r="698" spans="4:40" ht="12.75" customHeight="1" x14ac:dyDescent="0.15">
      <c r="D698" s="257" t="s">
        <v>19</v>
      </c>
      <c r="E698" s="258"/>
      <c r="F698" s="258"/>
      <c r="G698" s="265"/>
      <c r="H698" s="178" t="s">
        <v>7</v>
      </c>
      <c r="I698" s="176" t="s">
        <v>7</v>
      </c>
      <c r="J698" s="176" t="s">
        <v>7</v>
      </c>
      <c r="K698" s="180" t="s">
        <v>7</v>
      </c>
      <c r="L698" s="178" t="s">
        <v>7</v>
      </c>
      <c r="M698" s="176" t="s">
        <v>7</v>
      </c>
      <c r="N698" s="176" t="s">
        <v>7</v>
      </c>
      <c r="O698" s="176" t="s">
        <v>7</v>
      </c>
      <c r="P698" s="25">
        <f>Q698+R698+S698</f>
        <v>180</v>
      </c>
      <c r="Q698" s="23">
        <v>7</v>
      </c>
      <c r="R698" s="23">
        <v>78</v>
      </c>
      <c r="S698" s="23">
        <v>95</v>
      </c>
      <c r="AL698" s="7"/>
      <c r="AN698" s="1"/>
    </row>
    <row r="699" spans="4:40" ht="12.75" customHeight="1" x14ac:dyDescent="0.15">
      <c r="D699" s="259"/>
      <c r="E699" s="260"/>
      <c r="F699" s="260"/>
      <c r="G699" s="266"/>
      <c r="H699" s="179"/>
      <c r="I699" s="177"/>
      <c r="J699" s="177"/>
      <c r="K699" s="181"/>
      <c r="L699" s="179"/>
      <c r="M699" s="177"/>
      <c r="N699" s="177"/>
      <c r="O699" s="177"/>
      <c r="P699" s="43">
        <f>ROUND(P698/(P$680+P$684+P$686+P$688+P$690+P$692+P$694+P$698),3)</f>
        <v>0.22900000000000001</v>
      </c>
      <c r="Q699" s="41">
        <f>ROUND(Q698/(Q$680+Q$684+Q$686+Q$688+Q$690+Q$692+Q$694+Q$698),3)</f>
        <v>0.106</v>
      </c>
      <c r="R699" s="41">
        <f>ROUND(R698/(R$680+R$684+R$686+R$688+R$690+R$692+R$694+R$698),3)-0.001</f>
        <v>0.30399999999999999</v>
      </c>
      <c r="S699" s="41">
        <f>ROUND(S698/(S$680+S$684+S$686+S$688+S$690+S$692+S$694+S$698),3)</f>
        <v>0.20399999999999999</v>
      </c>
      <c r="AL699" s="7"/>
      <c r="AN699" s="1"/>
    </row>
    <row r="700" spans="4:40" ht="12.75" customHeight="1" x14ac:dyDescent="0.15">
      <c r="D700" s="203" t="s">
        <v>20</v>
      </c>
      <c r="E700" s="197"/>
      <c r="F700" s="197"/>
      <c r="G700" s="248"/>
      <c r="H700" s="22">
        <f>H680+H682+H684+H686+H688+H690+H692+H694+H696</f>
        <v>813</v>
      </c>
      <c r="I700" s="23">
        <f t="shared" ref="I700:K700" si="723">I680+I682+I684+I686+I688+I690+I692+I694+I696</f>
        <v>72</v>
      </c>
      <c r="J700" s="23">
        <f t="shared" si="723"/>
        <v>224</v>
      </c>
      <c r="K700" s="24">
        <f t="shared" si="723"/>
        <v>517</v>
      </c>
      <c r="L700" s="22">
        <f>L680+L682+L684+L686+L688+L690+L692+L694+L696</f>
        <v>851</v>
      </c>
      <c r="M700" s="23">
        <f t="shared" ref="M700:O700" si="724">M680+M682+M684+M686+M688+M690+M692+M694+M696</f>
        <v>91</v>
      </c>
      <c r="N700" s="23">
        <f t="shared" si="724"/>
        <v>241</v>
      </c>
      <c r="O700" s="23">
        <f t="shared" si="724"/>
        <v>519</v>
      </c>
      <c r="P700" s="25">
        <f>P680+P684+P686+P688+P690+P692+P694+P698</f>
        <v>787</v>
      </c>
      <c r="Q700" s="23">
        <f t="shared" ref="Q700:S700" si="725">Q680+Q684+Q686+Q688+Q690+Q692+Q694+Q698</f>
        <v>66</v>
      </c>
      <c r="R700" s="23">
        <f t="shared" si="725"/>
        <v>256</v>
      </c>
      <c r="S700" s="23">
        <f t="shared" si="725"/>
        <v>465</v>
      </c>
      <c r="AL700" s="7"/>
      <c r="AN700" s="1"/>
    </row>
    <row r="701" spans="4:40" ht="12.75" customHeight="1" thickBot="1" x14ac:dyDescent="0.2">
      <c r="D701" s="210"/>
      <c r="E701" s="211"/>
      <c r="F701" s="211"/>
      <c r="G701" s="249"/>
      <c r="H701" s="133">
        <f>H681+H683+H685+H687+H689+H691+H693+H695+H697</f>
        <v>1.0010000000000001</v>
      </c>
      <c r="I701" s="134">
        <f t="shared" ref="I701:K701" si="726">I681+I683+I685+I687+I689+I691+I693+I695+I697</f>
        <v>1</v>
      </c>
      <c r="J701" s="134">
        <f t="shared" si="726"/>
        <v>1.0010000000000001</v>
      </c>
      <c r="K701" s="135">
        <f t="shared" si="726"/>
        <v>0.99900000000000011</v>
      </c>
      <c r="L701" s="137">
        <f>L681+L683+L685+L687+L689+L691+L693+L695+L697</f>
        <v>1</v>
      </c>
      <c r="M701" s="136">
        <f t="shared" ref="M701:O701" si="727">M681+M683+M685+M687+M689+M691+M693+M695+M697</f>
        <v>1</v>
      </c>
      <c r="N701" s="136">
        <f t="shared" si="727"/>
        <v>1.0000000000000002</v>
      </c>
      <c r="O701" s="136">
        <f t="shared" si="727"/>
        <v>1.0000000000000002</v>
      </c>
      <c r="P701" s="138">
        <f>P681+P685+P687+P689+P691+P693+P695+P699</f>
        <v>1.0000000000000002</v>
      </c>
      <c r="Q701" s="136">
        <f t="shared" ref="Q701:S701" si="728">Q681+Q685+Q687+Q689+Q691+Q693+Q695+Q697+Q699</f>
        <v>1</v>
      </c>
      <c r="R701" s="136">
        <f t="shared" si="728"/>
        <v>1</v>
      </c>
      <c r="S701" s="136">
        <f t="shared" si="728"/>
        <v>1</v>
      </c>
      <c r="AL701" s="7"/>
      <c r="AN701" s="1"/>
    </row>
    <row r="702" spans="4:40" x14ac:dyDescent="0.15">
      <c r="D702" s="82"/>
      <c r="E702" s="129"/>
      <c r="F702" s="69"/>
      <c r="G702" s="69"/>
      <c r="H702" s="69"/>
      <c r="I702" s="69"/>
      <c r="J702" s="57"/>
      <c r="K702" s="57"/>
      <c r="L702" s="57"/>
      <c r="M702" s="57"/>
      <c r="N702" s="57"/>
      <c r="O702" s="57"/>
      <c r="P702" s="57"/>
      <c r="Q702" s="57"/>
      <c r="R702" s="50"/>
      <c r="S702" s="50"/>
      <c r="V702" s="34"/>
      <c r="W702" s="2"/>
    </row>
    <row r="703" spans="4:40" x14ac:dyDescent="0.15">
      <c r="D703" s="82"/>
      <c r="E703" s="129"/>
      <c r="F703" s="69"/>
      <c r="G703" s="69"/>
      <c r="H703" s="69"/>
      <c r="I703" s="69"/>
      <c r="J703" s="57"/>
      <c r="K703" s="57"/>
      <c r="L703" s="57"/>
      <c r="M703" s="57"/>
      <c r="N703" s="57"/>
      <c r="O703" s="57"/>
      <c r="P703" s="57"/>
      <c r="Q703" s="57"/>
      <c r="R703" s="50"/>
      <c r="S703" s="50"/>
      <c r="V703" s="34"/>
      <c r="W703" s="2"/>
    </row>
    <row r="704" spans="4:40" x14ac:dyDescent="0.15">
      <c r="D704" s="82"/>
      <c r="E704" s="129"/>
      <c r="F704" s="69"/>
      <c r="G704" s="69"/>
      <c r="H704" s="69"/>
      <c r="I704" s="69"/>
      <c r="J704" s="57"/>
      <c r="K704" s="57"/>
      <c r="L704" s="57"/>
      <c r="M704" s="57"/>
      <c r="N704" s="57"/>
      <c r="O704" s="57"/>
      <c r="P704" s="57"/>
      <c r="Q704" s="57"/>
      <c r="R704" s="50"/>
      <c r="S704" s="50"/>
      <c r="V704" s="34"/>
      <c r="W704" s="2"/>
    </row>
    <row r="705" spans="2:40" s="95" customFormat="1" x14ac:dyDescent="0.15">
      <c r="B705" s="91"/>
      <c r="C705" s="91"/>
      <c r="D705" s="82"/>
      <c r="E705" s="129"/>
      <c r="F705" s="101"/>
      <c r="G705" s="101"/>
      <c r="H705" s="101"/>
      <c r="I705" s="101"/>
      <c r="J705" s="102"/>
      <c r="K705" s="102"/>
      <c r="L705" s="102"/>
      <c r="M705" s="102"/>
      <c r="N705" s="102"/>
      <c r="O705" s="102"/>
      <c r="P705" s="102"/>
      <c r="Q705" s="102"/>
      <c r="R705" s="103"/>
      <c r="S705" s="103"/>
      <c r="T705" s="1"/>
      <c r="U705" s="6"/>
      <c r="V705" s="104"/>
      <c r="W705" s="91"/>
      <c r="AN705" s="7"/>
    </row>
    <row r="706" spans="2:40" x14ac:dyDescent="0.15">
      <c r="D706" s="82"/>
      <c r="E706" s="129"/>
      <c r="F706" s="69"/>
      <c r="G706" s="69"/>
      <c r="H706" s="69"/>
      <c r="I706" s="69"/>
      <c r="J706" s="57"/>
      <c r="K706" s="57"/>
      <c r="L706" s="57"/>
      <c r="M706" s="57"/>
      <c r="N706" s="57"/>
      <c r="O706" s="57"/>
      <c r="P706" s="57"/>
      <c r="Q706" s="57"/>
      <c r="R706" s="50"/>
      <c r="S706" s="50"/>
      <c r="T706" s="34"/>
      <c r="U706" s="35"/>
      <c r="V706" s="34"/>
      <c r="W706" s="2"/>
    </row>
    <row r="707" spans="2:40" x14ac:dyDescent="0.15">
      <c r="D707" s="82"/>
      <c r="E707" s="129"/>
      <c r="F707" s="69"/>
      <c r="G707" s="69"/>
      <c r="H707" s="69"/>
      <c r="I707" s="69"/>
      <c r="J707" s="57"/>
      <c r="K707" s="57"/>
      <c r="L707" s="57"/>
      <c r="M707" s="57"/>
      <c r="N707" s="57"/>
      <c r="O707" s="57"/>
      <c r="P707" s="57"/>
      <c r="Q707" s="57"/>
      <c r="R707" s="50"/>
      <c r="S707" s="50"/>
      <c r="T707" s="166"/>
      <c r="U707" s="97"/>
      <c r="V707" s="166"/>
      <c r="W707" s="2"/>
    </row>
    <row r="708" spans="2:40" x14ac:dyDescent="0.15">
      <c r="D708" s="82"/>
      <c r="E708" s="129"/>
      <c r="F708" s="69"/>
      <c r="G708" s="69"/>
      <c r="H708" s="69"/>
      <c r="I708" s="69"/>
      <c r="J708" s="57"/>
      <c r="K708" s="57"/>
      <c r="L708" s="57"/>
      <c r="M708" s="57"/>
      <c r="N708" s="57"/>
      <c r="O708" s="57"/>
      <c r="P708" s="57"/>
      <c r="Q708" s="57"/>
      <c r="R708" s="50"/>
      <c r="S708" s="50"/>
      <c r="T708" s="166" t="s">
        <v>56</v>
      </c>
      <c r="U708" s="97">
        <v>294</v>
      </c>
      <c r="V708" s="166"/>
      <c r="W708" s="2"/>
    </row>
    <row r="709" spans="2:40" x14ac:dyDescent="0.15">
      <c r="D709" s="82"/>
      <c r="E709" s="129"/>
      <c r="F709" s="69"/>
      <c r="G709" s="69"/>
      <c r="H709" s="69"/>
      <c r="I709" s="69"/>
      <c r="J709" s="57"/>
      <c r="K709" s="57"/>
      <c r="L709" s="57"/>
      <c r="M709" s="57"/>
      <c r="N709" s="57"/>
      <c r="O709" s="57"/>
      <c r="P709" s="57"/>
      <c r="Q709" s="57"/>
      <c r="R709" s="50"/>
      <c r="S709" s="50"/>
      <c r="T709" s="281" t="s">
        <v>227</v>
      </c>
      <c r="U709" s="282">
        <v>120</v>
      </c>
      <c r="V709" s="166"/>
      <c r="W709" s="2"/>
    </row>
    <row r="710" spans="2:40" x14ac:dyDescent="0.15">
      <c r="D710" s="82"/>
      <c r="E710" s="129"/>
      <c r="F710" s="69"/>
      <c r="G710" s="69"/>
      <c r="H710" s="69"/>
      <c r="I710" s="69"/>
      <c r="J710" s="57"/>
      <c r="K710" s="57"/>
      <c r="L710" s="57"/>
      <c r="M710" s="57"/>
      <c r="N710" s="57"/>
      <c r="O710" s="57"/>
      <c r="P710" s="57"/>
      <c r="Q710" s="57"/>
      <c r="R710" s="50"/>
      <c r="S710" s="50"/>
      <c r="T710" s="166" t="s">
        <v>117</v>
      </c>
      <c r="U710" s="97">
        <v>112</v>
      </c>
      <c r="V710" s="166"/>
      <c r="W710" s="2"/>
    </row>
    <row r="711" spans="2:40" x14ac:dyDescent="0.15">
      <c r="D711" s="82"/>
      <c r="E711" s="129"/>
      <c r="F711" s="69"/>
      <c r="G711" s="69"/>
      <c r="H711" s="69"/>
      <c r="I711" s="69"/>
      <c r="J711" s="57"/>
      <c r="K711" s="57"/>
      <c r="L711" s="57"/>
      <c r="M711" s="57"/>
      <c r="N711" s="57"/>
      <c r="O711" s="57"/>
      <c r="P711" s="57"/>
      <c r="Q711" s="57"/>
      <c r="R711" s="50"/>
      <c r="S711" s="50"/>
      <c r="T711" s="281" t="s">
        <v>239</v>
      </c>
      <c r="U711" s="97">
        <v>99</v>
      </c>
      <c r="V711" s="166"/>
      <c r="W711" s="2"/>
    </row>
    <row r="712" spans="2:40" x14ac:dyDescent="0.15">
      <c r="D712" s="82"/>
      <c r="E712" s="129"/>
      <c r="F712" s="69"/>
      <c r="G712" s="69"/>
      <c r="H712" s="69"/>
      <c r="I712" s="69"/>
      <c r="J712" s="57"/>
      <c r="K712" s="57"/>
      <c r="L712" s="57"/>
      <c r="M712" s="57"/>
      <c r="N712" s="57"/>
      <c r="O712" s="57"/>
      <c r="P712" s="57"/>
      <c r="Q712" s="57"/>
      <c r="R712" s="50"/>
      <c r="S712" s="50"/>
      <c r="T712" s="281" t="s">
        <v>228</v>
      </c>
      <c r="U712" s="97">
        <v>46</v>
      </c>
      <c r="V712" s="166"/>
      <c r="W712" s="2"/>
    </row>
    <row r="713" spans="2:40" x14ac:dyDescent="0.15">
      <c r="D713" s="82"/>
      <c r="E713" s="129"/>
      <c r="F713" s="69"/>
      <c r="G713" s="69"/>
      <c r="H713" s="69"/>
      <c r="I713" s="69"/>
      <c r="J713" s="57"/>
      <c r="K713" s="57"/>
      <c r="L713" s="57"/>
      <c r="M713" s="57"/>
      <c r="N713" s="57"/>
      <c r="O713" s="57"/>
      <c r="P713" s="57"/>
      <c r="Q713" s="57"/>
      <c r="R713" s="50"/>
      <c r="S713" s="50"/>
      <c r="T713" s="281" t="s">
        <v>229</v>
      </c>
      <c r="U713" s="97">
        <v>53</v>
      </c>
      <c r="V713" s="166"/>
      <c r="W713" s="2"/>
    </row>
    <row r="714" spans="2:40" x14ac:dyDescent="0.15">
      <c r="D714" s="82"/>
      <c r="E714" s="129"/>
      <c r="F714" s="69"/>
      <c r="G714" s="69"/>
      <c r="H714" s="69"/>
      <c r="I714" s="69"/>
      <c r="J714" s="57"/>
      <c r="K714" s="57"/>
      <c r="L714" s="57"/>
      <c r="M714" s="57"/>
      <c r="N714" s="57"/>
      <c r="O714" s="57"/>
      <c r="P714" s="57"/>
      <c r="Q714" s="57"/>
      <c r="R714" s="50"/>
      <c r="S714" s="50"/>
      <c r="T714" s="166" t="s">
        <v>115</v>
      </c>
      <c r="U714" s="97">
        <v>44</v>
      </c>
      <c r="V714" s="166"/>
      <c r="W714" s="2"/>
    </row>
    <row r="715" spans="2:40" x14ac:dyDescent="0.15">
      <c r="D715" s="82"/>
      <c r="E715" s="129"/>
      <c r="F715" s="69"/>
      <c r="G715" s="69"/>
      <c r="H715" s="69"/>
      <c r="I715" s="69"/>
      <c r="J715" s="57"/>
      <c r="K715" s="57"/>
      <c r="L715" s="57"/>
      <c r="M715" s="57"/>
      <c r="N715" s="57"/>
      <c r="O715" s="57"/>
      <c r="P715" s="57"/>
      <c r="Q715" s="57"/>
      <c r="R715" s="50"/>
      <c r="S715" s="50"/>
      <c r="T715" s="166" t="s">
        <v>118</v>
      </c>
      <c r="U715" s="97">
        <v>28</v>
      </c>
      <c r="V715" s="166"/>
      <c r="W715" s="2"/>
    </row>
    <row r="716" spans="2:40" x14ac:dyDescent="0.15">
      <c r="D716" s="82"/>
      <c r="E716" s="129"/>
      <c r="F716" s="69"/>
      <c r="G716" s="69"/>
      <c r="H716" s="69"/>
      <c r="I716" s="69"/>
      <c r="J716" s="57"/>
      <c r="K716" s="57"/>
      <c r="L716" s="57"/>
      <c r="M716" s="57"/>
      <c r="N716" s="57"/>
      <c r="O716" s="57"/>
      <c r="P716" s="57"/>
      <c r="Q716" s="57"/>
      <c r="R716" s="50"/>
      <c r="S716" s="50"/>
      <c r="T716" s="166" t="s">
        <v>88</v>
      </c>
      <c r="U716" s="97">
        <v>17</v>
      </c>
      <c r="V716" s="166"/>
      <c r="W716" s="2"/>
    </row>
    <row r="717" spans="2:40" x14ac:dyDescent="0.15">
      <c r="D717" s="82"/>
      <c r="E717" s="129"/>
      <c r="F717" s="69"/>
      <c r="G717" s="69"/>
      <c r="H717" s="69"/>
      <c r="I717" s="69"/>
      <c r="J717" s="57"/>
      <c r="K717" s="57"/>
      <c r="L717" s="57"/>
      <c r="M717" s="57"/>
      <c r="N717" s="57"/>
      <c r="O717" s="57"/>
      <c r="P717" s="57"/>
      <c r="Q717" s="57"/>
      <c r="R717" s="50"/>
      <c r="S717" s="50"/>
      <c r="T717" s="166"/>
      <c r="U717" s="97"/>
      <c r="V717" s="166"/>
      <c r="W717" s="2"/>
    </row>
    <row r="718" spans="2:40" x14ac:dyDescent="0.15">
      <c r="D718" s="82"/>
      <c r="E718" s="129"/>
      <c r="F718" s="69"/>
      <c r="G718" s="69"/>
      <c r="H718" s="69"/>
      <c r="I718" s="69"/>
      <c r="J718" s="57"/>
      <c r="K718" s="57"/>
      <c r="L718" s="57"/>
      <c r="M718" s="57"/>
      <c r="N718" s="57"/>
      <c r="O718" s="57"/>
      <c r="P718" s="57"/>
      <c r="Q718" s="57"/>
      <c r="R718" s="50"/>
      <c r="S718" s="50"/>
      <c r="T718" s="283"/>
      <c r="U718" s="97"/>
      <c r="V718" s="166"/>
      <c r="W718" s="2"/>
    </row>
    <row r="719" spans="2:40" x14ac:dyDescent="0.15">
      <c r="D719" s="82"/>
      <c r="E719" s="129"/>
      <c r="F719" s="69"/>
      <c r="G719" s="69"/>
      <c r="H719" s="69"/>
      <c r="I719" s="69"/>
      <c r="J719" s="57"/>
      <c r="K719" s="57"/>
      <c r="L719" s="57"/>
      <c r="M719" s="57"/>
      <c r="N719" s="57"/>
      <c r="O719" s="57"/>
      <c r="P719" s="57"/>
      <c r="Q719" s="57"/>
      <c r="R719" s="50"/>
      <c r="S719" s="50"/>
      <c r="T719" s="34"/>
      <c r="U719" s="35"/>
      <c r="V719" s="34"/>
      <c r="W719" s="2"/>
    </row>
    <row r="720" spans="2:40" x14ac:dyDescent="0.15">
      <c r="D720" s="82"/>
      <c r="E720" s="129"/>
      <c r="F720" s="69"/>
      <c r="G720" s="69"/>
      <c r="H720" s="69"/>
      <c r="I720" s="69"/>
      <c r="J720" s="57"/>
      <c r="K720" s="57"/>
      <c r="L720" s="57"/>
      <c r="M720" s="57"/>
      <c r="N720" s="57"/>
      <c r="O720" s="57"/>
      <c r="P720" s="57"/>
      <c r="Q720" s="57"/>
      <c r="R720" s="50"/>
      <c r="S720" s="50"/>
      <c r="U720" s="35"/>
      <c r="V720" s="34"/>
      <c r="W720" s="2"/>
    </row>
    <row r="721" spans="3:40" x14ac:dyDescent="0.15">
      <c r="D721" s="82"/>
      <c r="E721" s="129"/>
      <c r="F721" s="69"/>
      <c r="G721" s="69"/>
      <c r="H721" s="69"/>
      <c r="I721" s="69"/>
      <c r="J721" s="57"/>
      <c r="K721" s="57"/>
      <c r="L721" s="57"/>
      <c r="M721" s="57"/>
      <c r="N721" s="57"/>
      <c r="O721" s="57"/>
      <c r="P721" s="57"/>
      <c r="Q721" s="57"/>
      <c r="R721" s="50"/>
      <c r="S721" s="50"/>
      <c r="T721" s="34"/>
      <c r="U721" s="35"/>
      <c r="V721" s="34"/>
      <c r="W721" s="2"/>
    </row>
    <row r="722" spans="3:40" x14ac:dyDescent="0.15">
      <c r="D722" s="82"/>
      <c r="E722" s="129"/>
      <c r="F722" s="69"/>
      <c r="G722" s="69"/>
      <c r="H722" s="69"/>
      <c r="I722" s="69"/>
      <c r="J722" s="57"/>
      <c r="K722" s="57"/>
      <c r="L722" s="57"/>
      <c r="M722" s="57"/>
      <c r="N722" s="57"/>
      <c r="O722" s="57"/>
      <c r="P722" s="57"/>
      <c r="Q722" s="57"/>
      <c r="R722" s="50"/>
      <c r="S722" s="50"/>
      <c r="U722" s="35"/>
      <c r="V722" s="34"/>
      <c r="W722" s="2"/>
    </row>
    <row r="723" spans="3:40" x14ac:dyDescent="0.15">
      <c r="D723" s="82"/>
      <c r="E723" s="129"/>
      <c r="F723" s="69"/>
      <c r="G723" s="69"/>
      <c r="H723" s="69"/>
      <c r="I723" s="69"/>
      <c r="J723" s="57"/>
      <c r="K723" s="57"/>
      <c r="L723" s="57"/>
      <c r="M723" s="57"/>
      <c r="N723" s="57"/>
      <c r="O723" s="57"/>
      <c r="P723" s="57"/>
      <c r="Q723" s="57"/>
      <c r="R723" s="50"/>
      <c r="S723" s="50"/>
      <c r="T723" s="34"/>
      <c r="U723" s="35"/>
      <c r="V723" s="34"/>
      <c r="W723" s="2"/>
    </row>
    <row r="724" spans="3:40" x14ac:dyDescent="0.15">
      <c r="D724" s="82"/>
      <c r="E724" s="129"/>
      <c r="F724" s="69"/>
      <c r="G724" s="69"/>
      <c r="H724" s="69"/>
      <c r="I724" s="69"/>
      <c r="J724" s="57"/>
      <c r="K724" s="57"/>
      <c r="L724" s="57"/>
      <c r="M724" s="57"/>
      <c r="N724" s="57"/>
      <c r="O724" s="57"/>
      <c r="P724" s="57"/>
      <c r="Q724" s="57"/>
      <c r="R724" s="50"/>
      <c r="S724" s="50"/>
      <c r="U724" s="35"/>
      <c r="V724" s="34"/>
      <c r="W724" s="2"/>
    </row>
    <row r="725" spans="3:40" x14ac:dyDescent="0.15">
      <c r="D725" s="82"/>
      <c r="E725" s="129"/>
      <c r="F725" s="69"/>
      <c r="G725" s="69"/>
      <c r="H725" s="69"/>
      <c r="I725" s="69"/>
      <c r="J725" s="57"/>
      <c r="K725" s="57"/>
      <c r="L725" s="57"/>
      <c r="M725" s="57"/>
      <c r="N725" s="57"/>
      <c r="O725" s="57"/>
      <c r="P725" s="57"/>
      <c r="Q725" s="57"/>
      <c r="R725" s="50"/>
      <c r="S725" s="50"/>
      <c r="T725" s="34"/>
      <c r="U725" s="35"/>
      <c r="V725" s="34"/>
      <c r="W725" s="2"/>
    </row>
    <row r="726" spans="3:40" ht="14.25" thickBot="1" x14ac:dyDescent="0.2">
      <c r="C726" s="2" t="s">
        <v>156</v>
      </c>
      <c r="D726" s="82"/>
      <c r="E726" s="129"/>
      <c r="F726" s="69"/>
      <c r="G726" s="69"/>
      <c r="H726" s="69"/>
      <c r="I726" s="69"/>
      <c r="J726" s="57"/>
      <c r="K726" s="57"/>
      <c r="L726" s="57"/>
      <c r="M726" s="57"/>
      <c r="N726" s="57"/>
      <c r="O726" s="57"/>
      <c r="P726" s="57"/>
      <c r="Q726" s="57"/>
      <c r="R726" s="50"/>
      <c r="S726" s="50"/>
      <c r="T726" s="34"/>
      <c r="U726" s="35"/>
      <c r="V726" s="34"/>
      <c r="W726" s="2"/>
    </row>
    <row r="727" spans="3:40" ht="12.75" customHeight="1" x14ac:dyDescent="0.15">
      <c r="D727" s="70"/>
      <c r="E727" s="71"/>
      <c r="F727" s="71"/>
      <c r="G727" s="86"/>
      <c r="H727" s="184" t="s">
        <v>266</v>
      </c>
      <c r="I727" s="185"/>
      <c r="J727" s="185"/>
      <c r="K727" s="186"/>
      <c r="L727" s="178" t="s">
        <v>60</v>
      </c>
      <c r="M727" s="197"/>
      <c r="N727" s="197"/>
      <c r="O727" s="198"/>
      <c r="P727" s="197" t="s">
        <v>10</v>
      </c>
      <c r="Q727" s="204"/>
      <c r="R727" s="204"/>
      <c r="S727" s="205"/>
      <c r="T727" s="34"/>
      <c r="U727" s="35"/>
      <c r="AL727" s="7"/>
      <c r="AN727" s="1"/>
    </row>
    <row r="728" spans="3:40" ht="12.75" customHeight="1" x14ac:dyDescent="0.15">
      <c r="D728" s="72"/>
      <c r="E728" s="126"/>
      <c r="F728" s="126"/>
      <c r="G728" s="125"/>
      <c r="H728" s="124"/>
      <c r="I728" s="128" t="s">
        <v>11</v>
      </c>
      <c r="J728" s="128" t="s">
        <v>12</v>
      </c>
      <c r="K728" s="39" t="s">
        <v>13</v>
      </c>
      <c r="L728" s="124"/>
      <c r="M728" s="128" t="s">
        <v>11</v>
      </c>
      <c r="N728" s="122" t="s">
        <v>12</v>
      </c>
      <c r="O728" s="122" t="s">
        <v>13</v>
      </c>
      <c r="P728" s="15"/>
      <c r="Q728" s="122" t="s">
        <v>11</v>
      </c>
      <c r="R728" s="122" t="s">
        <v>12</v>
      </c>
      <c r="S728" s="122" t="s">
        <v>13</v>
      </c>
      <c r="T728" s="34"/>
      <c r="U728" s="35"/>
      <c r="AL728" s="7"/>
      <c r="AN728" s="1"/>
    </row>
    <row r="729" spans="3:40" ht="12.75" customHeight="1" x14ac:dyDescent="0.15">
      <c r="D729" s="257" t="s">
        <v>55</v>
      </c>
      <c r="E729" s="258"/>
      <c r="F729" s="258"/>
      <c r="G729" s="265"/>
      <c r="H729" s="22">
        <f>I729+J729+K729</f>
        <v>434</v>
      </c>
      <c r="I729" s="23">
        <v>39</v>
      </c>
      <c r="J729" s="23">
        <v>137</v>
      </c>
      <c r="K729" s="24">
        <v>258</v>
      </c>
      <c r="L729" s="22">
        <f>M729+N729+O729</f>
        <v>419</v>
      </c>
      <c r="M729" s="23">
        <v>50</v>
      </c>
      <c r="N729" s="23">
        <v>140</v>
      </c>
      <c r="O729" s="23">
        <v>229</v>
      </c>
      <c r="P729" s="25">
        <f>Q729+R729+S729</f>
        <v>405</v>
      </c>
      <c r="Q729" s="23">
        <v>37</v>
      </c>
      <c r="R729" s="23">
        <v>138</v>
      </c>
      <c r="S729" s="23">
        <v>230</v>
      </c>
      <c r="T729" s="34"/>
      <c r="U729" s="35"/>
      <c r="AL729" s="7"/>
      <c r="AN729" s="1"/>
    </row>
    <row r="730" spans="3:40" ht="12.75" customHeight="1" x14ac:dyDescent="0.15">
      <c r="D730" s="259"/>
      <c r="E730" s="260"/>
      <c r="F730" s="260"/>
      <c r="G730" s="266"/>
      <c r="H730" s="40">
        <f>ROUND(H729/(H$729+H$731+H$733+H$735+H$737+H$739+H$741),3)</f>
        <v>0.54600000000000004</v>
      </c>
      <c r="I730" s="41">
        <f t="shared" ref="I730:K730" si="729">ROUND(I729/(I$729+I$731+I$733+I$735+I$737+I$739+I$741),3)</f>
        <v>0.54200000000000004</v>
      </c>
      <c r="J730" s="41">
        <f>ROUND(J729/(J$729+J$731+J$733+J$735+J$737+J$739+J$741),3)</f>
        <v>0.61199999999999999</v>
      </c>
      <c r="K730" s="42">
        <f t="shared" si="729"/>
        <v>0.51700000000000002</v>
      </c>
      <c r="L730" s="40">
        <f>ROUND(L729/(L$729+L$731+L$733+L$735+L$737+L$739+L$741),3)</f>
        <v>0.502</v>
      </c>
      <c r="M730" s="41">
        <f t="shared" ref="M730" si="730">ROUND(M729/(M$729+M$731+M$733+M$735+M$737+M$739+M$741),3)</f>
        <v>0.505</v>
      </c>
      <c r="N730" s="41">
        <f>ROUND(N729/(N$729+N$731+N$733+N$735+N$737+N$739+N$741),3)-0.001</f>
        <v>0.57799999999999996</v>
      </c>
      <c r="O730" s="41">
        <f t="shared" ref="O730" si="731">ROUND(O729/(O$729+O$731+O$733+O$735+O$737+O$739+O$741),3)</f>
        <v>0.46400000000000002</v>
      </c>
      <c r="P730" s="43">
        <f>ROUND(P729/(P$729+P$731+P$733+P$735+P$737+P$739+P$743),3)</f>
        <v>0.51500000000000001</v>
      </c>
      <c r="Q730" s="41">
        <f t="shared" ref="Q730:S730" si="732">ROUND(Q729/(Q$729+Q$731+Q$733+Q$735+Q$737+Q$739+Q$743),3)</f>
        <v>0.56100000000000005</v>
      </c>
      <c r="R730" s="41">
        <f t="shared" si="732"/>
        <v>0.53900000000000003</v>
      </c>
      <c r="S730" s="41">
        <f t="shared" si="732"/>
        <v>0.495</v>
      </c>
      <c r="T730" s="34"/>
      <c r="U730" s="35"/>
      <c r="AL730" s="7"/>
      <c r="AN730" s="1"/>
    </row>
    <row r="731" spans="3:40" ht="12.75" customHeight="1" x14ac:dyDescent="0.15">
      <c r="D731" s="257" t="s">
        <v>57</v>
      </c>
      <c r="E731" s="258"/>
      <c r="F731" s="258"/>
      <c r="G731" s="265"/>
      <c r="H731" s="22">
        <f>I731+J731+K731</f>
        <v>144</v>
      </c>
      <c r="I731" s="23">
        <v>6</v>
      </c>
      <c r="J731" s="23">
        <v>39</v>
      </c>
      <c r="K731" s="24">
        <v>99</v>
      </c>
      <c r="L731" s="22">
        <f>M731+N731+O731</f>
        <v>182</v>
      </c>
      <c r="M731" s="23">
        <v>15</v>
      </c>
      <c r="N731" s="23">
        <v>51</v>
      </c>
      <c r="O731" s="23">
        <v>116</v>
      </c>
      <c r="P731" s="25">
        <f>Q731+R731+S731</f>
        <v>71</v>
      </c>
      <c r="Q731" s="23">
        <v>3</v>
      </c>
      <c r="R731" s="23">
        <v>25</v>
      </c>
      <c r="S731" s="23">
        <v>43</v>
      </c>
      <c r="AL731" s="7"/>
      <c r="AN731" s="1"/>
    </row>
    <row r="732" spans="3:40" ht="12.75" customHeight="1" x14ac:dyDescent="0.15">
      <c r="D732" s="259"/>
      <c r="E732" s="260"/>
      <c r="F732" s="260"/>
      <c r="G732" s="266"/>
      <c r="H732" s="40">
        <f>ROUND(H731/(H$729+H$731+H$733+H$735+H$737+H$739+H$741),3)</f>
        <v>0.18099999999999999</v>
      </c>
      <c r="I732" s="41">
        <f t="shared" ref="I732" si="733">ROUND(I731/(I$729+I$731+I$733+I$735+I$737+I$739+I$741),3)</f>
        <v>8.3000000000000004E-2</v>
      </c>
      <c r="J732" s="41">
        <f t="shared" ref="J732" si="734">ROUND(J731/(J$729+J$731+J$733+J$735+J$737+J$739+J$741),3)</f>
        <v>0.17399999999999999</v>
      </c>
      <c r="K732" s="42">
        <f t="shared" ref="K732" si="735">ROUND(K731/(K$729+K$731+K$733+K$735+K$737+K$739+K$741),3)</f>
        <v>0.19800000000000001</v>
      </c>
      <c r="L732" s="40">
        <f>ROUND(L731/(L$729+L$731+L$733+L$735+L$737+L$739+L$741),3)</f>
        <v>0.218</v>
      </c>
      <c r="M732" s="41">
        <f t="shared" ref="M732:O732" si="736">ROUND(M731/(M$729+M$731+M$733+M$735+M$737+M$739+M$741),3)</f>
        <v>0.152</v>
      </c>
      <c r="N732" s="41">
        <f t="shared" si="736"/>
        <v>0.21099999999999999</v>
      </c>
      <c r="O732" s="41">
        <f t="shared" si="736"/>
        <v>0.23499999999999999</v>
      </c>
      <c r="P732" s="43">
        <f>ROUND(P731/(P$729+P$731+P$733+P$735+P$737+P$739+P$743),3)</f>
        <v>0.09</v>
      </c>
      <c r="Q732" s="41">
        <f t="shared" ref="Q732" si="737">ROUND(Q731/(Q$729+Q$731+Q$733+Q$735+Q$737+Q$739+Q$743),3)</f>
        <v>4.4999999999999998E-2</v>
      </c>
      <c r="R732" s="41">
        <f t="shared" ref="R732" si="738">ROUND(R731/(R$729+R$731+R$733+R$735+R$737+R$739+R$743),3)</f>
        <v>9.8000000000000004E-2</v>
      </c>
      <c r="S732" s="41">
        <f t="shared" ref="S732" si="739">ROUND(S731/(S$729+S$731+S$733+S$735+S$737+S$739+S$743),3)</f>
        <v>9.1999999999999998E-2</v>
      </c>
      <c r="AL732" s="7"/>
      <c r="AN732" s="1"/>
    </row>
    <row r="733" spans="3:40" ht="12.75" customHeight="1" x14ac:dyDescent="0.15">
      <c r="D733" s="257" t="s">
        <v>122</v>
      </c>
      <c r="E733" s="258"/>
      <c r="F733" s="258"/>
      <c r="G733" s="265"/>
      <c r="H733" s="22">
        <f>I733+J733+K733</f>
        <v>96</v>
      </c>
      <c r="I733" s="23">
        <v>15</v>
      </c>
      <c r="J733" s="23">
        <v>28</v>
      </c>
      <c r="K733" s="24">
        <v>53</v>
      </c>
      <c r="L733" s="22">
        <f>M733+N733+O733</f>
        <v>107</v>
      </c>
      <c r="M733" s="23">
        <v>22</v>
      </c>
      <c r="N733" s="23">
        <v>25</v>
      </c>
      <c r="O733" s="23">
        <v>60</v>
      </c>
      <c r="P733" s="25">
        <f>Q733+R733+S733</f>
        <v>92</v>
      </c>
      <c r="Q733" s="23">
        <v>12</v>
      </c>
      <c r="R733" s="23">
        <v>24</v>
      </c>
      <c r="S733" s="23">
        <v>56</v>
      </c>
      <c r="AL733" s="7"/>
      <c r="AN733" s="1"/>
    </row>
    <row r="734" spans="3:40" ht="12.75" customHeight="1" x14ac:dyDescent="0.15">
      <c r="D734" s="259"/>
      <c r="E734" s="260"/>
      <c r="F734" s="260"/>
      <c r="G734" s="266"/>
      <c r="H734" s="40">
        <f>ROUND(H733/(H$729+H$731+H$733+H$735+H$737+H$739+H$741),3)</f>
        <v>0.121</v>
      </c>
      <c r="I734" s="41">
        <f t="shared" ref="I734" si="740">ROUND(I733/(I$729+I$731+I$733+I$735+I$737+I$739+I$741),3)</f>
        <v>0.20799999999999999</v>
      </c>
      <c r="J734" s="41">
        <f t="shared" ref="J734" si="741">ROUND(J733/(J$729+J$731+J$733+J$735+J$737+J$739+J$741),3)</f>
        <v>0.125</v>
      </c>
      <c r="K734" s="42">
        <f>ROUND(K733/(K$729+K$731+K$733+K$735+K$737+K$739+K$741),3)</f>
        <v>0.106</v>
      </c>
      <c r="L734" s="40">
        <f>ROUND(L733/(L$729+L$731+L$733+L$735+L$737+L$739+L$741),3)</f>
        <v>0.128</v>
      </c>
      <c r="M734" s="41">
        <f t="shared" ref="M734:N734" si="742">ROUND(M733/(M$729+M$731+M$733+M$735+M$737+M$739+M$741),3)</f>
        <v>0.222</v>
      </c>
      <c r="N734" s="41">
        <f t="shared" si="742"/>
        <v>0.10299999999999999</v>
      </c>
      <c r="O734" s="41">
        <f>ROUND(O733/(O$729+O$731+O$733+O$735+O$737+O$739+O$741),3)+0.001</f>
        <v>0.122</v>
      </c>
      <c r="P734" s="43">
        <f>ROUND(P733/(P$729+P$731+P$733+P$735+P$737+P$739+P$743),3)</f>
        <v>0.11700000000000001</v>
      </c>
      <c r="Q734" s="41">
        <f t="shared" ref="Q734" si="743">ROUND(Q733/(Q$729+Q$731+Q$733+Q$735+Q$737+Q$739+Q$743),3)</f>
        <v>0.182</v>
      </c>
      <c r="R734" s="41">
        <f t="shared" ref="R734" si="744">ROUND(R733/(R$729+R$731+R$733+R$735+R$737+R$739+R$743),3)</f>
        <v>9.4E-2</v>
      </c>
      <c r="S734" s="41">
        <f t="shared" ref="S734" si="745">ROUND(S733/(S$729+S$731+S$733+S$735+S$737+S$739+S$743),3)</f>
        <v>0.12</v>
      </c>
      <c r="AL734" s="7"/>
      <c r="AN734" s="1"/>
    </row>
    <row r="735" spans="3:40" ht="12.75" customHeight="1" x14ac:dyDescent="0.15">
      <c r="D735" s="257" t="s">
        <v>59</v>
      </c>
      <c r="E735" s="258"/>
      <c r="F735" s="258"/>
      <c r="G735" s="265"/>
      <c r="H735" s="22">
        <f>I735+J735+K735</f>
        <v>64</v>
      </c>
      <c r="I735" s="23">
        <v>2</v>
      </c>
      <c r="J735" s="23">
        <v>8</v>
      </c>
      <c r="K735" s="24">
        <v>54</v>
      </c>
      <c r="L735" s="22">
        <f>M735+N735+O735</f>
        <v>64</v>
      </c>
      <c r="M735" s="23">
        <v>1</v>
      </c>
      <c r="N735" s="23">
        <v>12</v>
      </c>
      <c r="O735" s="23">
        <v>51</v>
      </c>
      <c r="P735" s="25">
        <f>Q735+R735+S735</f>
        <v>24</v>
      </c>
      <c r="Q735" s="23">
        <v>0</v>
      </c>
      <c r="R735" s="23">
        <v>7</v>
      </c>
      <c r="S735" s="23">
        <v>17</v>
      </c>
      <c r="AL735" s="7"/>
      <c r="AN735" s="1"/>
    </row>
    <row r="736" spans="3:40" ht="12.75" customHeight="1" x14ac:dyDescent="0.15">
      <c r="D736" s="259"/>
      <c r="E736" s="260"/>
      <c r="F736" s="260"/>
      <c r="G736" s="266"/>
      <c r="H736" s="40">
        <f>ROUND(H735/(H$729+H$731+H$733+H$735+H$737+H$739+H$741),3)</f>
        <v>8.1000000000000003E-2</v>
      </c>
      <c r="I736" s="41">
        <f t="shared" ref="I736" si="746">ROUND(I735/(I$729+I$731+I$733+I$735+I$737+I$739+I$741),3)</f>
        <v>2.8000000000000001E-2</v>
      </c>
      <c r="J736" s="41">
        <f t="shared" ref="J736" si="747">ROUND(J735/(J$729+J$731+J$733+J$735+J$737+J$739+J$741),3)</f>
        <v>3.5999999999999997E-2</v>
      </c>
      <c r="K736" s="42">
        <f t="shared" ref="K736" si="748">ROUND(K735/(K$729+K$731+K$733+K$735+K$737+K$739+K$741),3)</f>
        <v>0.108</v>
      </c>
      <c r="L736" s="40">
        <f>ROUND(L735/(L$729+L$731+L$733+L$735+L$737+L$739+L$741),3)</f>
        <v>7.6999999999999999E-2</v>
      </c>
      <c r="M736" s="41">
        <f t="shared" ref="M736:O736" si="749">ROUND(M735/(M$729+M$731+M$733+M$735+M$737+M$739+M$741),3)</f>
        <v>0.01</v>
      </c>
      <c r="N736" s="41">
        <f t="shared" si="749"/>
        <v>0.05</v>
      </c>
      <c r="O736" s="41">
        <f t="shared" si="749"/>
        <v>0.10299999999999999</v>
      </c>
      <c r="P736" s="43">
        <f>ROUND(P735/(P$729+P$731+P$733+P$735+P$737+P$739+P$743),3)</f>
        <v>0.03</v>
      </c>
      <c r="Q736" s="41">
        <f t="shared" ref="Q736" si="750">ROUND(Q735/(Q$729+Q$731+Q$733+Q$735+Q$737+Q$739+Q$743),3)</f>
        <v>0</v>
      </c>
      <c r="R736" s="41">
        <f t="shared" ref="R736" si="751">ROUND(R735/(R$729+R$731+R$733+R$735+R$737+R$739+R$743),3)</f>
        <v>2.7E-2</v>
      </c>
      <c r="S736" s="41">
        <f t="shared" ref="S736" si="752">ROUND(S735/(S$729+S$731+S$733+S$735+S$737+S$739+S$743),3)</f>
        <v>3.6999999999999998E-2</v>
      </c>
      <c r="AL736" s="7"/>
      <c r="AN736" s="1"/>
    </row>
    <row r="737" spans="4:40" ht="12.75" customHeight="1" x14ac:dyDescent="0.15">
      <c r="D737" s="257" t="s">
        <v>115</v>
      </c>
      <c r="E737" s="258"/>
      <c r="F737" s="258"/>
      <c r="G737" s="265"/>
      <c r="H737" s="22">
        <f>I737+J737+K737</f>
        <v>26</v>
      </c>
      <c r="I737" s="23">
        <v>3</v>
      </c>
      <c r="J737" s="23">
        <v>5</v>
      </c>
      <c r="K737" s="24">
        <v>18</v>
      </c>
      <c r="L737" s="22">
        <f>M737+N737+O737</f>
        <v>28</v>
      </c>
      <c r="M737" s="23">
        <v>5</v>
      </c>
      <c r="N737" s="23">
        <v>5</v>
      </c>
      <c r="O737" s="23">
        <v>18</v>
      </c>
      <c r="P737" s="25">
        <f>Q737+R737+S737</f>
        <v>34</v>
      </c>
      <c r="Q737" s="23">
        <v>4</v>
      </c>
      <c r="R737" s="23">
        <v>12</v>
      </c>
      <c r="S737" s="23">
        <v>18</v>
      </c>
      <c r="AL737" s="7"/>
      <c r="AN737" s="1"/>
    </row>
    <row r="738" spans="4:40" ht="12.75" customHeight="1" x14ac:dyDescent="0.15">
      <c r="D738" s="259"/>
      <c r="E738" s="260"/>
      <c r="F738" s="260"/>
      <c r="G738" s="266"/>
      <c r="H738" s="40">
        <f>ROUND(H737/(H$729+H$731+H$733+H$735+H$737+H$739+H$741),3)</f>
        <v>3.3000000000000002E-2</v>
      </c>
      <c r="I738" s="41">
        <f t="shared" ref="I738" si="753">ROUND(I737/(I$729+I$731+I$733+I$735+I$737+I$739+I$741),3)</f>
        <v>4.2000000000000003E-2</v>
      </c>
      <c r="J738" s="41">
        <f t="shared" ref="J738" si="754">ROUND(J737/(J$729+J$731+J$733+J$735+J$737+J$739+J$741),3)</f>
        <v>2.1999999999999999E-2</v>
      </c>
      <c r="K738" s="42">
        <f t="shared" ref="K738" si="755">ROUND(K737/(K$729+K$731+K$733+K$735+K$737+K$739+K$741),3)</f>
        <v>3.5999999999999997E-2</v>
      </c>
      <c r="L738" s="40">
        <f>ROUND(L737/(L$729+L$731+L$733+L$735+L$737+L$739+L$741),3)-0.001</f>
        <v>3.3000000000000002E-2</v>
      </c>
      <c r="M738" s="41">
        <f t="shared" ref="M738:O738" si="756">ROUND(M737/(M$729+M$731+M$733+M$735+M$737+M$739+M$741),3)</f>
        <v>5.0999999999999997E-2</v>
      </c>
      <c r="N738" s="41">
        <f t="shared" si="756"/>
        <v>2.1000000000000001E-2</v>
      </c>
      <c r="O738" s="41">
        <f t="shared" si="756"/>
        <v>3.5999999999999997E-2</v>
      </c>
      <c r="P738" s="43">
        <f>ROUND(P737/(P$729+P$731+P$733+P$735+P$737+P$739+P$743),3)</f>
        <v>4.2999999999999997E-2</v>
      </c>
      <c r="Q738" s="41">
        <f t="shared" ref="Q738" si="757">ROUND(Q737/(Q$729+Q$731+Q$733+Q$735+Q$737+Q$739+Q$743),3)</f>
        <v>6.0999999999999999E-2</v>
      </c>
      <c r="R738" s="41">
        <f t="shared" ref="R738" si="758">ROUND(R737/(R$729+R$731+R$733+R$735+R$737+R$739+R$743),3)</f>
        <v>4.7E-2</v>
      </c>
      <c r="S738" s="41">
        <f t="shared" ref="S738" si="759">ROUND(S737/(S$729+S$731+S$733+S$735+S$737+S$739+S$743),3)</f>
        <v>3.9E-2</v>
      </c>
      <c r="AL738" s="7"/>
      <c r="AN738" s="1"/>
    </row>
    <row r="739" spans="4:40" ht="12.75" customHeight="1" x14ac:dyDescent="0.15">
      <c r="D739" s="257" t="s">
        <v>123</v>
      </c>
      <c r="E739" s="258"/>
      <c r="F739" s="258"/>
      <c r="G739" s="265"/>
      <c r="H739" s="22">
        <f>I739+J739+K739</f>
        <v>14</v>
      </c>
      <c r="I739" s="23">
        <v>3</v>
      </c>
      <c r="J739" s="23">
        <v>6</v>
      </c>
      <c r="K739" s="24">
        <v>5</v>
      </c>
      <c r="L739" s="22">
        <f>M739+N739+O739</f>
        <v>17</v>
      </c>
      <c r="M739" s="23">
        <v>4</v>
      </c>
      <c r="N739" s="23">
        <v>4</v>
      </c>
      <c r="O739" s="23">
        <v>9</v>
      </c>
      <c r="P739" s="25">
        <f>Q739+R739+S739</f>
        <v>11</v>
      </c>
      <c r="Q739" s="23">
        <v>2</v>
      </c>
      <c r="R739" s="23">
        <v>1</v>
      </c>
      <c r="S739" s="23">
        <v>8</v>
      </c>
      <c r="AL739" s="7"/>
      <c r="AN739" s="1"/>
    </row>
    <row r="740" spans="4:40" ht="12.75" customHeight="1" x14ac:dyDescent="0.15">
      <c r="D740" s="259"/>
      <c r="E740" s="260"/>
      <c r="F740" s="260"/>
      <c r="G740" s="266"/>
      <c r="H740" s="40">
        <f>ROUND(H739/(H$729+H$731+H$733+H$735+H$737+H$739+H$741),3)</f>
        <v>1.7999999999999999E-2</v>
      </c>
      <c r="I740" s="41">
        <f t="shared" ref="I740" si="760">ROUND(I739/(I$729+I$731+I$733+I$735+I$737+I$739+I$741),3)</f>
        <v>4.2000000000000003E-2</v>
      </c>
      <c r="J740" s="41">
        <f>ROUND(J739/(J$729+J$731+J$733+J$735+J$737+J$739+J$741),3)</f>
        <v>2.7E-2</v>
      </c>
      <c r="K740" s="42">
        <f t="shared" ref="K740" si="761">ROUND(K739/(K$729+K$731+K$733+K$735+K$737+K$739+K$741),3)</f>
        <v>0.01</v>
      </c>
      <c r="L740" s="40">
        <f>ROUND(L739/(L$729+L$731+L$733+L$735+L$737+L$739+L$741),3)</f>
        <v>0.02</v>
      </c>
      <c r="M740" s="41">
        <f t="shared" ref="M740" si="762">ROUND(M739/(M$729+M$731+M$733+M$735+M$737+M$739+M$741),3)</f>
        <v>0.04</v>
      </c>
      <c r="N740" s="41">
        <f>ROUND(N739/(N$729+N$731+N$733+N$735+N$737+N$739+N$741),3)-0.001</f>
        <v>1.6E-2</v>
      </c>
      <c r="O740" s="41">
        <f t="shared" ref="O740" si="763">ROUND(O739/(O$729+O$731+O$733+O$735+O$737+O$739+O$741),3)</f>
        <v>1.7999999999999999E-2</v>
      </c>
      <c r="P740" s="43">
        <f>ROUND(P739/(P$729+P$731+P$733+P$735+P$737+P$739+P$743),3)</f>
        <v>1.4E-2</v>
      </c>
      <c r="Q740" s="41">
        <f t="shared" ref="Q740" si="764">ROUND(Q739/(Q$729+Q$731+Q$733+Q$735+Q$737+Q$739+Q$743),3)</f>
        <v>0.03</v>
      </c>
      <c r="R740" s="41">
        <f t="shared" ref="R740" si="765">ROUND(R739/(R$729+R$731+R$733+R$735+R$737+R$739+R$743),3)</f>
        <v>4.0000000000000001E-3</v>
      </c>
      <c r="S740" s="41">
        <f t="shared" ref="S740" si="766">ROUND(S739/(S$729+S$731+S$733+S$735+S$737+S$739+S$743),3)</f>
        <v>1.7000000000000001E-2</v>
      </c>
      <c r="AL740" s="7"/>
      <c r="AN740" s="1"/>
    </row>
    <row r="741" spans="4:40" ht="12.75" customHeight="1" x14ac:dyDescent="0.15">
      <c r="D741" s="257" t="s">
        <v>88</v>
      </c>
      <c r="E741" s="258"/>
      <c r="F741" s="258"/>
      <c r="G741" s="265"/>
      <c r="H741" s="22">
        <f>I741+J741+K741</f>
        <v>17</v>
      </c>
      <c r="I741" s="23">
        <v>4</v>
      </c>
      <c r="J741" s="23">
        <v>1</v>
      </c>
      <c r="K741" s="24">
        <v>12</v>
      </c>
      <c r="L741" s="22">
        <f>M741+N741+O741</f>
        <v>18</v>
      </c>
      <c r="M741" s="23">
        <v>2</v>
      </c>
      <c r="N741" s="23">
        <v>5</v>
      </c>
      <c r="O741" s="23">
        <v>11</v>
      </c>
      <c r="P741" s="207" t="s">
        <v>259</v>
      </c>
      <c r="Q741" s="208" t="s">
        <v>259</v>
      </c>
      <c r="R741" s="208" t="s">
        <v>259</v>
      </c>
      <c r="S741" s="208" t="s">
        <v>259</v>
      </c>
      <c r="AL741" s="7"/>
      <c r="AN741" s="1"/>
    </row>
    <row r="742" spans="4:40" ht="12.75" customHeight="1" x14ac:dyDescent="0.15">
      <c r="D742" s="259"/>
      <c r="E742" s="260"/>
      <c r="F742" s="260"/>
      <c r="G742" s="266"/>
      <c r="H742" s="40">
        <f>ROUND(H741/(H$729+H$731+H$733+H$735+H$737+H$739+H$741),3)</f>
        <v>2.1000000000000001E-2</v>
      </c>
      <c r="I742" s="41">
        <f t="shared" ref="I742" si="767">ROUND(I741/(I$729+I$731+I$733+I$735+I$737+I$739+I$741),3)</f>
        <v>5.6000000000000001E-2</v>
      </c>
      <c r="J742" s="41">
        <f t="shared" ref="J742" si="768">ROUND(J741/(J$729+J$731+J$733+J$735+J$737+J$739+J$741),3)</f>
        <v>4.0000000000000001E-3</v>
      </c>
      <c r="K742" s="42">
        <f t="shared" ref="K742" si="769">ROUND(K741/(K$729+K$731+K$733+K$735+K$737+K$739+K$741),3)</f>
        <v>2.4E-2</v>
      </c>
      <c r="L742" s="40">
        <f>ROUND(L741/(L$729+L$731+L$733+L$735+L$737+L$739+L$741),3)</f>
        <v>2.1999999999999999E-2</v>
      </c>
      <c r="M742" s="41">
        <f t="shared" ref="M742:O742" si="770">ROUND(M741/(M$729+M$731+M$733+M$735+M$737+M$739+M$741),3)</f>
        <v>0.02</v>
      </c>
      <c r="N742" s="41">
        <f t="shared" si="770"/>
        <v>2.1000000000000001E-2</v>
      </c>
      <c r="O742" s="41">
        <f t="shared" si="770"/>
        <v>2.1999999999999999E-2</v>
      </c>
      <c r="P742" s="200"/>
      <c r="Q742" s="202"/>
      <c r="R742" s="202"/>
      <c r="S742" s="202"/>
      <c r="AL742" s="7"/>
      <c r="AN742" s="1"/>
    </row>
    <row r="743" spans="4:40" ht="12.75" customHeight="1" x14ac:dyDescent="0.15">
      <c r="D743" s="257" t="s">
        <v>19</v>
      </c>
      <c r="E743" s="258"/>
      <c r="F743" s="258"/>
      <c r="G743" s="265"/>
      <c r="H743" s="178" t="s">
        <v>7</v>
      </c>
      <c r="I743" s="176" t="s">
        <v>7</v>
      </c>
      <c r="J743" s="176" t="s">
        <v>7</v>
      </c>
      <c r="K743" s="180" t="s">
        <v>7</v>
      </c>
      <c r="L743" s="178" t="s">
        <v>7</v>
      </c>
      <c r="M743" s="176" t="s">
        <v>7</v>
      </c>
      <c r="N743" s="176" t="s">
        <v>7</v>
      </c>
      <c r="O743" s="176" t="s">
        <v>7</v>
      </c>
      <c r="P743" s="25">
        <f>Q743+R743+S743</f>
        <v>150</v>
      </c>
      <c r="Q743" s="23">
        <v>8</v>
      </c>
      <c r="R743" s="23">
        <v>49</v>
      </c>
      <c r="S743" s="23">
        <v>93</v>
      </c>
      <c r="AL743" s="7"/>
      <c r="AN743" s="1"/>
    </row>
    <row r="744" spans="4:40" ht="12.75" customHeight="1" x14ac:dyDescent="0.15">
      <c r="D744" s="259"/>
      <c r="E744" s="260"/>
      <c r="F744" s="260"/>
      <c r="G744" s="266"/>
      <c r="H744" s="179"/>
      <c r="I744" s="177"/>
      <c r="J744" s="177"/>
      <c r="K744" s="181"/>
      <c r="L744" s="179"/>
      <c r="M744" s="177"/>
      <c r="N744" s="177"/>
      <c r="O744" s="177"/>
      <c r="P744" s="43">
        <f>ROUND(P743/(P$729+P$731+P$733+P$735+P$737+P$739+P$743),3)</f>
        <v>0.191</v>
      </c>
      <c r="Q744" s="41">
        <f t="shared" ref="Q744" si="771">ROUND(Q743/(Q$729+Q$731+Q$733+Q$735+Q$737+Q$739+Q$743),3)</f>
        <v>0.121</v>
      </c>
      <c r="R744" s="41">
        <f t="shared" ref="R744" si="772">ROUND(R743/(R$729+R$731+R$733+R$735+R$737+R$739+R$743),3)</f>
        <v>0.191</v>
      </c>
      <c r="S744" s="41">
        <f t="shared" ref="S744" si="773">ROUND(S743/(S$729+S$731+S$733+S$735+S$737+S$739+S$743),3)</f>
        <v>0.2</v>
      </c>
      <c r="AL744" s="7"/>
      <c r="AN744" s="1"/>
    </row>
    <row r="745" spans="4:40" ht="12.75" customHeight="1" x14ac:dyDescent="0.15">
      <c r="D745" s="203" t="s">
        <v>20</v>
      </c>
      <c r="E745" s="197"/>
      <c r="F745" s="197"/>
      <c r="G745" s="248"/>
      <c r="H745" s="22">
        <f>H729+H731+H733+H735+H737+H739+H741</f>
        <v>795</v>
      </c>
      <c r="I745" s="23">
        <f>I729+I731+I733+I735+I737+I739+I741</f>
        <v>72</v>
      </c>
      <c r="J745" s="23">
        <f t="shared" ref="J745" si="774">J729+J731+J733+J735+J737+J739+J741</f>
        <v>224</v>
      </c>
      <c r="K745" s="24">
        <f>K729+K731+K733+K735+K737+K739+K741</f>
        <v>499</v>
      </c>
      <c r="L745" s="22">
        <f>L729+L731+L733+L735+L737+L739+L741</f>
        <v>835</v>
      </c>
      <c r="M745" s="23">
        <f t="shared" ref="M745:O745" si="775">M729+M731+M733+M735+M737+M739+M741</f>
        <v>99</v>
      </c>
      <c r="N745" s="23">
        <f t="shared" si="775"/>
        <v>242</v>
      </c>
      <c r="O745" s="23">
        <f t="shared" si="775"/>
        <v>494</v>
      </c>
      <c r="P745" s="45">
        <f>P729+P731+P733+P735+P737+P739+P743</f>
        <v>787</v>
      </c>
      <c r="Q745" s="23">
        <f>Q729+Q731+Q733+Q735+Q737+Q739+Q743</f>
        <v>66</v>
      </c>
      <c r="R745" s="23">
        <f t="shared" ref="R745:S745" si="776">R729+R731+R733+R735+R737+R739+R743</f>
        <v>256</v>
      </c>
      <c r="S745" s="25">
        <f t="shared" si="776"/>
        <v>465</v>
      </c>
      <c r="AL745" s="7"/>
      <c r="AN745" s="1"/>
    </row>
    <row r="746" spans="4:40" ht="12.75" customHeight="1" thickBot="1" x14ac:dyDescent="0.2">
      <c r="D746" s="210"/>
      <c r="E746" s="211"/>
      <c r="F746" s="211"/>
      <c r="G746" s="249"/>
      <c r="H746" s="133">
        <f>H730+H732+H734+H736+H738+H740+H742</f>
        <v>1.0010000000000001</v>
      </c>
      <c r="I746" s="134">
        <f t="shared" ref="I746:K746" si="777">I730+I732+I734+I736+I738+I740+I742</f>
        <v>1.0010000000000001</v>
      </c>
      <c r="J746" s="134">
        <f t="shared" si="777"/>
        <v>1</v>
      </c>
      <c r="K746" s="135">
        <f t="shared" si="777"/>
        <v>0.99900000000000011</v>
      </c>
      <c r="L746" s="137">
        <f>L730+L732+L734+L736+L738+L740+L742</f>
        <v>1</v>
      </c>
      <c r="M746" s="136">
        <f t="shared" ref="M746:O746" si="778">M730+M732+M734+M736+M738+M740+M742</f>
        <v>1</v>
      </c>
      <c r="N746" s="136">
        <f t="shared" si="778"/>
        <v>1</v>
      </c>
      <c r="O746" s="136">
        <f t="shared" si="778"/>
        <v>1</v>
      </c>
      <c r="P746" s="132">
        <f>P730+P732+P734+P736+P738+P740+P744</f>
        <v>1</v>
      </c>
      <c r="Q746" s="136">
        <f t="shared" ref="Q746:S746" si="779">Q730+Q732+Q734+Q736+Q738+Q740+Q744</f>
        <v>1</v>
      </c>
      <c r="R746" s="136">
        <f t="shared" si="779"/>
        <v>1</v>
      </c>
      <c r="S746" s="138">
        <f t="shared" si="779"/>
        <v>1</v>
      </c>
      <c r="AL746" s="7"/>
      <c r="AN746" s="1"/>
    </row>
    <row r="747" spans="4:40" x14ac:dyDescent="0.15">
      <c r="D747" s="82"/>
      <c r="E747" s="129"/>
      <c r="F747" s="69"/>
      <c r="G747" s="69"/>
      <c r="H747" s="69"/>
      <c r="I747" s="69"/>
      <c r="J747" s="57"/>
      <c r="K747" s="57"/>
      <c r="L747" s="57"/>
      <c r="M747" s="57"/>
      <c r="N747" s="57"/>
      <c r="O747" s="57"/>
      <c r="P747" s="57"/>
      <c r="Q747" s="57"/>
      <c r="R747" s="50"/>
      <c r="S747" s="50"/>
      <c r="V747" s="34"/>
      <c r="W747" s="2"/>
    </row>
    <row r="748" spans="4:40" x14ac:dyDescent="0.15">
      <c r="D748" s="82"/>
      <c r="E748" s="129"/>
      <c r="F748" s="69"/>
      <c r="G748" s="69"/>
      <c r="H748" s="69"/>
      <c r="I748" s="69"/>
      <c r="J748" s="57"/>
      <c r="K748" s="57"/>
      <c r="L748" s="57"/>
      <c r="M748" s="57"/>
      <c r="N748" s="57"/>
      <c r="O748" s="57"/>
      <c r="P748" s="57"/>
      <c r="Q748" s="57"/>
      <c r="R748" s="50"/>
      <c r="S748" s="50"/>
      <c r="V748" s="34"/>
      <c r="W748" s="2"/>
    </row>
    <row r="749" spans="4:40" x14ac:dyDescent="0.15">
      <c r="D749" s="82"/>
      <c r="E749" s="129"/>
      <c r="F749" s="69"/>
      <c r="G749" s="69"/>
      <c r="H749" s="69"/>
      <c r="I749" s="69"/>
      <c r="J749" s="57"/>
      <c r="K749" s="57"/>
      <c r="L749" s="57"/>
      <c r="M749" s="57"/>
      <c r="N749" s="57"/>
      <c r="O749" s="57"/>
      <c r="P749" s="57"/>
      <c r="Q749" s="57"/>
      <c r="R749" s="50"/>
      <c r="S749" s="50"/>
      <c r="V749" s="34"/>
      <c r="W749" s="2"/>
    </row>
    <row r="750" spans="4:40" x14ac:dyDescent="0.15">
      <c r="D750" s="82"/>
      <c r="E750" s="129"/>
      <c r="F750" s="69"/>
      <c r="G750" s="69"/>
      <c r="H750" s="69"/>
      <c r="I750" s="69"/>
      <c r="J750" s="57"/>
      <c r="K750" s="57"/>
      <c r="L750" s="57"/>
      <c r="M750" s="57"/>
      <c r="N750" s="57"/>
      <c r="O750" s="57"/>
      <c r="P750" s="57"/>
      <c r="Q750" s="57"/>
      <c r="R750" s="50"/>
      <c r="S750" s="50"/>
      <c r="V750" s="34"/>
      <c r="W750" s="2"/>
    </row>
    <row r="751" spans="4:40" x14ac:dyDescent="0.15">
      <c r="D751" s="82"/>
      <c r="E751" s="129"/>
      <c r="F751" s="69"/>
      <c r="G751" s="69"/>
      <c r="H751" s="69"/>
      <c r="I751" s="69"/>
      <c r="J751" s="57"/>
      <c r="K751" s="57"/>
      <c r="L751" s="57"/>
      <c r="M751" s="57"/>
      <c r="N751" s="57"/>
      <c r="O751" s="57"/>
      <c r="P751" s="57"/>
      <c r="Q751" s="57"/>
      <c r="R751" s="50"/>
      <c r="S751" s="50"/>
      <c r="T751" s="34"/>
      <c r="U751" s="35"/>
      <c r="V751" s="34"/>
      <c r="W751" s="2"/>
    </row>
    <row r="752" spans="4:40" x14ac:dyDescent="0.15">
      <c r="D752" s="82"/>
      <c r="E752" s="129"/>
      <c r="F752" s="69"/>
      <c r="G752" s="69"/>
      <c r="H752" s="69"/>
      <c r="I752" s="69"/>
      <c r="J752" s="57"/>
      <c r="K752" s="57"/>
      <c r="L752" s="57"/>
      <c r="M752" s="57"/>
      <c r="N752" s="57"/>
      <c r="O752" s="57"/>
      <c r="P752" s="57"/>
      <c r="Q752" s="57"/>
      <c r="R752" s="50"/>
      <c r="S752" s="50"/>
      <c r="T752" s="166" t="s">
        <v>55</v>
      </c>
      <c r="U752" s="97">
        <v>434</v>
      </c>
      <c r="V752" s="166"/>
      <c r="W752" s="2"/>
    </row>
    <row r="753" spans="4:23" x14ac:dyDescent="0.15">
      <c r="D753" s="82"/>
      <c r="E753" s="129"/>
      <c r="F753" s="69"/>
      <c r="G753" s="69"/>
      <c r="H753" s="69"/>
      <c r="I753" s="69"/>
      <c r="J753" s="57"/>
      <c r="K753" s="57"/>
      <c r="L753" s="57"/>
      <c r="M753" s="57"/>
      <c r="N753" s="57"/>
      <c r="O753" s="57"/>
      <c r="P753" s="57"/>
      <c r="Q753" s="57"/>
      <c r="R753" s="50"/>
      <c r="S753" s="50"/>
      <c r="T753" s="166" t="s">
        <v>57</v>
      </c>
      <c r="U753" s="97">
        <v>144</v>
      </c>
      <c r="V753" s="166"/>
      <c r="W753" s="2"/>
    </row>
    <row r="754" spans="4:23" x14ac:dyDescent="0.15">
      <c r="D754" s="82"/>
      <c r="E754" s="129"/>
      <c r="F754" s="69"/>
      <c r="G754" s="69"/>
      <c r="H754" s="69"/>
      <c r="I754" s="69"/>
      <c r="J754" s="57"/>
      <c r="K754" s="57"/>
      <c r="L754" s="57"/>
      <c r="M754" s="57"/>
      <c r="N754" s="57"/>
      <c r="O754" s="57"/>
      <c r="P754" s="57"/>
      <c r="Q754" s="57"/>
      <c r="R754" s="50"/>
      <c r="S754" s="50"/>
      <c r="T754" s="166" t="s">
        <v>122</v>
      </c>
      <c r="U754" s="97">
        <v>96</v>
      </c>
      <c r="V754" s="166"/>
      <c r="W754" s="2"/>
    </row>
    <row r="755" spans="4:23" x14ac:dyDescent="0.15">
      <c r="D755" s="82"/>
      <c r="E755" s="129"/>
      <c r="F755" s="69"/>
      <c r="G755" s="69"/>
      <c r="H755" s="69"/>
      <c r="I755" s="69"/>
      <c r="J755" s="57"/>
      <c r="K755" s="57"/>
      <c r="L755" s="57"/>
      <c r="M755" s="57"/>
      <c r="N755" s="57"/>
      <c r="O755" s="57"/>
      <c r="P755" s="57"/>
      <c r="Q755" s="57"/>
      <c r="R755" s="50"/>
      <c r="S755" s="50"/>
      <c r="T755" s="166" t="s">
        <v>59</v>
      </c>
      <c r="U755" s="97">
        <v>64</v>
      </c>
      <c r="V755" s="166"/>
      <c r="W755" s="2"/>
    </row>
    <row r="756" spans="4:23" x14ac:dyDescent="0.15">
      <c r="D756" s="82"/>
      <c r="E756" s="129"/>
      <c r="F756" s="69"/>
      <c r="G756" s="69"/>
      <c r="H756" s="69"/>
      <c r="I756" s="69"/>
      <c r="J756" s="57"/>
      <c r="K756" s="57"/>
      <c r="L756" s="57"/>
      <c r="M756" s="57"/>
      <c r="N756" s="57"/>
      <c r="O756" s="57"/>
      <c r="P756" s="57"/>
      <c r="Q756" s="57"/>
      <c r="R756" s="50"/>
      <c r="S756" s="50"/>
      <c r="T756" s="166" t="s">
        <v>115</v>
      </c>
      <c r="U756" s="97">
        <v>26</v>
      </c>
      <c r="V756" s="166"/>
      <c r="W756" s="2"/>
    </row>
    <row r="757" spans="4:23" x14ac:dyDescent="0.15">
      <c r="D757" s="82"/>
      <c r="E757" s="129"/>
      <c r="F757" s="69"/>
      <c r="G757" s="69"/>
      <c r="H757" s="69"/>
      <c r="I757" s="69"/>
      <c r="J757" s="57"/>
      <c r="K757" s="57"/>
      <c r="L757" s="57"/>
      <c r="M757" s="57"/>
      <c r="N757" s="57"/>
      <c r="O757" s="57"/>
      <c r="P757" s="57"/>
      <c r="Q757" s="57"/>
      <c r="R757" s="50"/>
      <c r="S757" s="50"/>
      <c r="T757" s="281" t="s">
        <v>230</v>
      </c>
      <c r="U757" s="97">
        <v>14</v>
      </c>
      <c r="V757" s="166"/>
      <c r="W757" s="2"/>
    </row>
    <row r="758" spans="4:23" x14ac:dyDescent="0.15">
      <c r="D758" s="82"/>
      <c r="E758" s="129"/>
      <c r="F758" s="69"/>
      <c r="G758" s="69"/>
      <c r="H758" s="69"/>
      <c r="I758" s="69"/>
      <c r="J758" s="57"/>
      <c r="K758" s="57"/>
      <c r="L758" s="57"/>
      <c r="M758" s="57"/>
      <c r="N758" s="57"/>
      <c r="O758" s="57"/>
      <c r="P758" s="57"/>
      <c r="Q758" s="57"/>
      <c r="R758" s="50"/>
      <c r="S758" s="50"/>
      <c r="T758" s="166" t="s">
        <v>88</v>
      </c>
      <c r="U758" s="97">
        <v>17</v>
      </c>
      <c r="V758" s="166"/>
      <c r="W758" s="2"/>
    </row>
    <row r="759" spans="4:23" x14ac:dyDescent="0.15">
      <c r="D759" s="82"/>
      <c r="E759" s="129"/>
      <c r="F759" s="69"/>
      <c r="G759" s="69"/>
      <c r="H759" s="69"/>
      <c r="I759" s="69"/>
      <c r="J759" s="57"/>
      <c r="K759" s="57"/>
      <c r="L759" s="57"/>
      <c r="M759" s="57"/>
      <c r="N759" s="57"/>
      <c r="O759" s="57"/>
      <c r="P759" s="57"/>
      <c r="Q759" s="57"/>
      <c r="R759" s="50"/>
      <c r="S759" s="50"/>
      <c r="T759" s="166"/>
      <c r="U759" s="97"/>
      <c r="V759" s="166"/>
      <c r="W759" s="2"/>
    </row>
    <row r="760" spans="4:23" x14ac:dyDescent="0.15">
      <c r="D760" s="82"/>
      <c r="E760" s="129"/>
      <c r="F760" s="69"/>
      <c r="G760" s="69"/>
      <c r="H760" s="69"/>
      <c r="I760" s="69"/>
      <c r="J760" s="57"/>
      <c r="K760" s="57"/>
      <c r="L760" s="57"/>
      <c r="M760" s="57"/>
      <c r="N760" s="57"/>
      <c r="O760" s="57"/>
      <c r="P760" s="57"/>
      <c r="Q760" s="57"/>
      <c r="R760" s="50"/>
      <c r="S760" s="50"/>
      <c r="T760" s="283"/>
      <c r="U760" s="97"/>
      <c r="V760" s="166"/>
      <c r="W760" s="2"/>
    </row>
    <row r="761" spans="4:23" x14ac:dyDescent="0.15">
      <c r="D761" s="82"/>
      <c r="E761" s="129"/>
      <c r="F761" s="69"/>
      <c r="G761" s="69"/>
      <c r="H761" s="69"/>
      <c r="I761" s="69"/>
      <c r="J761" s="57"/>
      <c r="K761" s="57"/>
      <c r="L761" s="57"/>
      <c r="M761" s="57"/>
      <c r="N761" s="57"/>
      <c r="O761" s="57"/>
      <c r="P761" s="57"/>
      <c r="Q761" s="57"/>
      <c r="R761" s="50"/>
      <c r="S761" s="50"/>
      <c r="T761" s="166"/>
      <c r="U761" s="97"/>
      <c r="V761" s="166"/>
      <c r="W761" s="2"/>
    </row>
    <row r="762" spans="4:23" x14ac:dyDescent="0.15">
      <c r="D762" s="82"/>
      <c r="E762" s="129"/>
      <c r="F762" s="69"/>
      <c r="G762" s="69"/>
      <c r="H762" s="69"/>
      <c r="I762" s="69"/>
      <c r="J762" s="57"/>
      <c r="K762" s="57"/>
      <c r="L762" s="57"/>
      <c r="M762" s="57"/>
      <c r="N762" s="57"/>
      <c r="O762" s="57"/>
      <c r="P762" s="57"/>
      <c r="Q762" s="57"/>
      <c r="R762" s="50"/>
      <c r="S762" s="50"/>
      <c r="T762" s="283"/>
      <c r="U762" s="97"/>
      <c r="V762" s="166"/>
      <c r="W762" s="2"/>
    </row>
    <row r="763" spans="4:23" x14ac:dyDescent="0.15">
      <c r="D763" s="82"/>
      <c r="E763" s="129"/>
      <c r="F763" s="69"/>
      <c r="G763" s="69"/>
      <c r="H763" s="69"/>
      <c r="I763" s="69"/>
      <c r="J763" s="57"/>
      <c r="K763" s="57"/>
      <c r="L763" s="57"/>
      <c r="M763" s="57"/>
      <c r="N763" s="57"/>
      <c r="O763" s="57"/>
      <c r="P763" s="57"/>
      <c r="Q763" s="57"/>
      <c r="R763" s="50"/>
      <c r="S763" s="50"/>
      <c r="T763" s="166"/>
      <c r="U763" s="97"/>
      <c r="V763" s="166"/>
      <c r="W763" s="2"/>
    </row>
    <row r="764" spans="4:23" x14ac:dyDescent="0.15">
      <c r="D764" s="82"/>
      <c r="E764" s="129"/>
      <c r="F764" s="69"/>
      <c r="G764" s="69"/>
      <c r="H764" s="69"/>
      <c r="I764" s="69"/>
      <c r="J764" s="57"/>
      <c r="K764" s="57"/>
      <c r="L764" s="57"/>
      <c r="M764" s="57"/>
      <c r="N764" s="57"/>
      <c r="O764" s="57"/>
      <c r="P764" s="57"/>
      <c r="Q764" s="57"/>
      <c r="R764" s="50"/>
      <c r="S764" s="50"/>
      <c r="T764" s="283"/>
      <c r="U764" s="97"/>
      <c r="V764" s="166"/>
      <c r="W764" s="2"/>
    </row>
    <row r="765" spans="4:23" x14ac:dyDescent="0.15">
      <c r="D765" s="82"/>
      <c r="E765" s="129"/>
      <c r="F765" s="69"/>
      <c r="G765" s="69"/>
      <c r="H765" s="69"/>
      <c r="I765" s="69"/>
      <c r="J765" s="57"/>
      <c r="K765" s="57"/>
      <c r="L765" s="57"/>
      <c r="M765" s="57"/>
      <c r="N765" s="57"/>
      <c r="O765" s="57"/>
      <c r="P765" s="57"/>
      <c r="Q765" s="57"/>
      <c r="R765" s="50"/>
      <c r="S765" s="50"/>
      <c r="T765" s="166"/>
      <c r="U765" s="97"/>
      <c r="V765" s="166"/>
      <c r="W765" s="2"/>
    </row>
    <row r="766" spans="4:23" x14ac:dyDescent="0.15">
      <c r="D766" s="82"/>
      <c r="E766" s="129"/>
      <c r="F766" s="69"/>
      <c r="G766" s="69"/>
      <c r="H766" s="69"/>
      <c r="I766" s="69"/>
      <c r="J766" s="57"/>
      <c r="K766" s="57"/>
      <c r="L766" s="57"/>
      <c r="M766" s="57"/>
      <c r="N766" s="57"/>
      <c r="O766" s="57"/>
      <c r="P766" s="57"/>
      <c r="Q766" s="57"/>
      <c r="R766" s="50"/>
      <c r="S766" s="50"/>
      <c r="T766" s="166"/>
      <c r="U766" s="97"/>
      <c r="V766" s="166"/>
      <c r="W766" s="2"/>
    </row>
    <row r="767" spans="4:23" x14ac:dyDescent="0.15">
      <c r="D767" s="82"/>
      <c r="E767" s="129"/>
      <c r="F767" s="69"/>
      <c r="G767" s="69"/>
      <c r="H767" s="69"/>
      <c r="I767" s="69"/>
      <c r="J767" s="57"/>
      <c r="K767" s="57"/>
      <c r="L767" s="57"/>
      <c r="M767" s="57"/>
      <c r="N767" s="57"/>
      <c r="O767" s="57"/>
      <c r="P767" s="57"/>
      <c r="Q767" s="57"/>
      <c r="R767" s="50"/>
      <c r="S767" s="50"/>
      <c r="T767" s="166"/>
      <c r="U767" s="97"/>
      <c r="V767" s="166"/>
      <c r="W767" s="2"/>
    </row>
    <row r="768" spans="4:23" x14ac:dyDescent="0.15">
      <c r="D768" s="82"/>
      <c r="E768" s="129"/>
      <c r="F768" s="69"/>
      <c r="G768" s="69"/>
      <c r="H768" s="69"/>
      <c r="I768" s="69"/>
      <c r="J768" s="57"/>
      <c r="K768" s="57"/>
      <c r="L768" s="57"/>
      <c r="M768" s="57"/>
      <c r="N768" s="57"/>
      <c r="O768" s="57"/>
      <c r="P768" s="57"/>
      <c r="Q768" s="57"/>
      <c r="R768" s="50"/>
      <c r="S768" s="50"/>
      <c r="T768" s="34"/>
      <c r="U768" s="35"/>
      <c r="V768" s="34"/>
      <c r="W768" s="2"/>
    </row>
    <row r="769" spans="3:40" x14ac:dyDescent="0.15">
      <c r="D769" s="82"/>
      <c r="E769" s="129"/>
      <c r="F769" s="69"/>
      <c r="G769" s="69"/>
      <c r="H769" s="69"/>
      <c r="I769" s="69"/>
      <c r="J769" s="57"/>
      <c r="K769" s="57"/>
      <c r="L769" s="57"/>
      <c r="M769" s="57"/>
      <c r="N769" s="57"/>
      <c r="O769" s="57"/>
      <c r="P769" s="57"/>
      <c r="Q769" s="57"/>
      <c r="R769" s="50"/>
      <c r="S769" s="50"/>
      <c r="T769" s="34"/>
      <c r="U769" s="35"/>
      <c r="V769" s="34"/>
      <c r="W769" s="2"/>
    </row>
    <row r="770" spans="3:40" x14ac:dyDescent="0.15">
      <c r="D770" s="82"/>
      <c r="E770" s="129"/>
      <c r="F770" s="69"/>
      <c r="G770" s="69"/>
      <c r="H770" s="69"/>
      <c r="I770" s="69"/>
      <c r="J770" s="57"/>
      <c r="K770" s="57"/>
      <c r="L770" s="57"/>
      <c r="M770" s="57"/>
      <c r="N770" s="57"/>
      <c r="O770" s="57"/>
      <c r="P770" s="57"/>
      <c r="Q770" s="57"/>
      <c r="R770" s="50"/>
      <c r="S770" s="50"/>
      <c r="T770" s="34"/>
      <c r="U770" s="35"/>
      <c r="V770" s="34"/>
      <c r="W770" s="2"/>
    </row>
    <row r="771" spans="3:40" x14ac:dyDescent="0.15">
      <c r="D771" s="82"/>
      <c r="E771" s="129"/>
      <c r="F771" s="69"/>
      <c r="G771" s="69"/>
      <c r="H771" s="69"/>
      <c r="I771" s="69"/>
      <c r="J771" s="57"/>
      <c r="K771" s="57"/>
      <c r="L771" s="57"/>
      <c r="M771" s="57"/>
      <c r="N771" s="57"/>
      <c r="O771" s="57"/>
      <c r="P771" s="57"/>
      <c r="Q771" s="57"/>
      <c r="R771" s="50"/>
      <c r="S771" s="50"/>
      <c r="T771" s="34"/>
      <c r="U771" s="35"/>
      <c r="V771" s="34"/>
      <c r="W771" s="2"/>
    </row>
    <row r="772" spans="3:40" ht="14.25" thickBot="1" x14ac:dyDescent="0.2">
      <c r="C772" s="2" t="s">
        <v>157</v>
      </c>
      <c r="D772" s="82"/>
      <c r="E772" s="129"/>
      <c r="F772" s="69"/>
      <c r="G772" s="69"/>
      <c r="H772" s="69"/>
      <c r="I772" s="69"/>
      <c r="J772" s="57"/>
      <c r="K772" s="57"/>
      <c r="L772" s="57"/>
      <c r="M772" s="57"/>
      <c r="N772" s="57"/>
      <c r="O772" s="57"/>
      <c r="P772" s="57"/>
      <c r="Q772" s="57"/>
      <c r="R772" s="50"/>
      <c r="S772" s="50"/>
      <c r="T772" s="34"/>
      <c r="U772" s="35"/>
      <c r="V772" s="34"/>
      <c r="W772" s="2"/>
    </row>
    <row r="773" spans="3:40" ht="12.75" customHeight="1" x14ac:dyDescent="0.15">
      <c r="D773" s="70"/>
      <c r="E773" s="71"/>
      <c r="F773" s="71"/>
      <c r="G773" s="86"/>
      <c r="H773" s="184" t="s">
        <v>266</v>
      </c>
      <c r="I773" s="185"/>
      <c r="J773" s="185"/>
      <c r="K773" s="186"/>
      <c r="L773" s="182" t="s">
        <v>60</v>
      </c>
      <c r="M773" s="196"/>
      <c r="N773" s="196"/>
      <c r="O773" s="196"/>
      <c r="P773" s="203" t="s">
        <v>258</v>
      </c>
      <c r="Q773" s="204"/>
      <c r="R773" s="204"/>
      <c r="S773" s="205"/>
      <c r="T773" s="34"/>
      <c r="U773" s="35"/>
      <c r="AL773" s="7"/>
      <c r="AN773" s="1"/>
    </row>
    <row r="774" spans="3:40" ht="12.75" customHeight="1" x14ac:dyDescent="0.15">
      <c r="D774" s="72"/>
      <c r="E774" s="126"/>
      <c r="F774" s="126"/>
      <c r="G774" s="125"/>
      <c r="H774" s="124"/>
      <c r="I774" s="128" t="s">
        <v>11</v>
      </c>
      <c r="J774" s="128" t="s">
        <v>12</v>
      </c>
      <c r="K774" s="39" t="s">
        <v>13</v>
      </c>
      <c r="L774" s="124"/>
      <c r="M774" s="128" t="s">
        <v>11</v>
      </c>
      <c r="N774" s="122" t="s">
        <v>12</v>
      </c>
      <c r="O774" s="122" t="s">
        <v>13</v>
      </c>
      <c r="P774" s="150"/>
      <c r="Q774" s="122" t="s">
        <v>11</v>
      </c>
      <c r="R774" s="122" t="s">
        <v>12</v>
      </c>
      <c r="S774" s="122" t="s">
        <v>13</v>
      </c>
      <c r="T774" s="34"/>
      <c r="U774" s="35"/>
      <c r="AL774" s="7"/>
      <c r="AN774" s="1"/>
    </row>
    <row r="775" spans="3:40" ht="12.75" customHeight="1" x14ac:dyDescent="0.15">
      <c r="D775" s="257" t="s">
        <v>124</v>
      </c>
      <c r="E775" s="258"/>
      <c r="F775" s="258"/>
      <c r="G775" s="265"/>
      <c r="H775" s="22">
        <f>I775+J775+K775</f>
        <v>276</v>
      </c>
      <c r="I775" s="23">
        <v>15</v>
      </c>
      <c r="J775" s="23">
        <v>67</v>
      </c>
      <c r="K775" s="24">
        <v>194</v>
      </c>
      <c r="L775" s="22">
        <f>M775+N775+O775</f>
        <v>272</v>
      </c>
      <c r="M775" s="23">
        <v>25</v>
      </c>
      <c r="N775" s="23">
        <v>68</v>
      </c>
      <c r="O775" s="23">
        <v>179</v>
      </c>
      <c r="P775" s="23">
        <f>Q775+R775+S775</f>
        <v>202</v>
      </c>
      <c r="Q775" s="23">
        <v>17</v>
      </c>
      <c r="R775" s="23">
        <v>64</v>
      </c>
      <c r="S775" s="23">
        <v>121</v>
      </c>
      <c r="T775" s="34"/>
      <c r="U775" s="35"/>
      <c r="AL775" s="7"/>
      <c r="AN775" s="1"/>
    </row>
    <row r="776" spans="3:40" ht="12.75" customHeight="1" x14ac:dyDescent="0.15">
      <c r="D776" s="259"/>
      <c r="E776" s="260"/>
      <c r="F776" s="260"/>
      <c r="G776" s="266"/>
      <c r="H776" s="40">
        <f>ROUND(H775/(H$775+H$777+H$779+H$781+H$783+H$785+H$787+H$789+H$791),3)</f>
        <v>0.309</v>
      </c>
      <c r="I776" s="41">
        <f t="shared" ref="I776:K776" si="780">ROUND(I775/(I$775+I$777+I$779+I$781+I$783+I$785+I$787+I$789+I$791),3)</f>
        <v>0.183</v>
      </c>
      <c r="J776" s="41">
        <f t="shared" si="780"/>
        <v>0.27500000000000002</v>
      </c>
      <c r="K776" s="42">
        <f t="shared" si="780"/>
        <v>0.34200000000000003</v>
      </c>
      <c r="L776" s="40">
        <f>ROUND(L775/(L$775+L$777+L$779+L$781+L$783+L$785+L$787+L$789+L$791),3)</f>
        <v>0.28899999999999998</v>
      </c>
      <c r="M776" s="41">
        <f t="shared" ref="M776:O776" si="781">ROUND(M775/(M$775+M$777+M$779+M$781+M$783+M$785+M$787+M$789+M$791),3)</f>
        <v>0.22900000000000001</v>
      </c>
      <c r="N776" s="41">
        <f t="shared" si="781"/>
        <v>0.253</v>
      </c>
      <c r="O776" s="41">
        <f t="shared" si="781"/>
        <v>0.31900000000000001</v>
      </c>
      <c r="P776" s="41">
        <f>ROUND(P775/(P$775+P$779+P$781+P$783+P$785+P$787+P$789+P$793),3)</f>
        <v>0.25700000000000001</v>
      </c>
      <c r="Q776" s="41">
        <f>ROUND(Q775/(Q$775+Q$779+Q$781+Q$783+Q$785+Q$787+Q$789+Q$793),3)-0.001</f>
        <v>0.25700000000000001</v>
      </c>
      <c r="R776" s="41">
        <f>ROUND(R775/(R$775+R$779+R$781+R$783+R$785+R$787+R$789+R$793),3)</f>
        <v>0.25</v>
      </c>
      <c r="S776" s="41">
        <f t="shared" ref="S776" si="782">ROUND(S775/(S$775+S$779+S$781+S$783+S$785+S$787+S$789+S$793),3)</f>
        <v>0.26</v>
      </c>
      <c r="T776" s="34"/>
      <c r="U776" s="35"/>
      <c r="AL776" s="7"/>
      <c r="AN776" s="1"/>
    </row>
    <row r="777" spans="3:40" ht="12.75" customHeight="1" x14ac:dyDescent="0.15">
      <c r="D777" s="257" t="s">
        <v>125</v>
      </c>
      <c r="E777" s="258"/>
      <c r="F777" s="258"/>
      <c r="G777" s="265"/>
      <c r="H777" s="22">
        <f>I777+J777+K777</f>
        <v>223</v>
      </c>
      <c r="I777" s="23">
        <v>22</v>
      </c>
      <c r="J777" s="23">
        <v>60</v>
      </c>
      <c r="K777" s="24">
        <v>141</v>
      </c>
      <c r="L777" s="22">
        <f>M777+N777+O777</f>
        <v>227</v>
      </c>
      <c r="M777" s="23">
        <v>25</v>
      </c>
      <c r="N777" s="23">
        <v>59</v>
      </c>
      <c r="O777" s="23">
        <v>143</v>
      </c>
      <c r="P777" s="201" t="s">
        <v>259</v>
      </c>
      <c r="Q777" s="201" t="s">
        <v>7</v>
      </c>
      <c r="R777" s="201" t="s">
        <v>259</v>
      </c>
      <c r="S777" s="201" t="s">
        <v>7</v>
      </c>
      <c r="AL777" s="7"/>
      <c r="AN777" s="1"/>
    </row>
    <row r="778" spans="3:40" ht="12.75" customHeight="1" x14ac:dyDescent="0.15">
      <c r="D778" s="259"/>
      <c r="E778" s="260"/>
      <c r="F778" s="260"/>
      <c r="G778" s="266"/>
      <c r="H778" s="40">
        <f>ROUND(H777/(H$775+H$777+H$779+H$781+H$783+H$785+H$787+H$789+H$791),3)</f>
        <v>0.25</v>
      </c>
      <c r="I778" s="41">
        <f t="shared" ref="I778" si="783">ROUND(I777/(I$775+I$777+I$779+I$781+I$783+I$785+I$787+I$789+I$791),3)</f>
        <v>0.26800000000000002</v>
      </c>
      <c r="J778" s="41">
        <f t="shared" ref="J778" si="784">ROUND(J777/(J$775+J$777+J$779+J$781+J$783+J$785+J$787+J$789+J$791),3)</f>
        <v>0.246</v>
      </c>
      <c r="K778" s="42">
        <f t="shared" ref="K778" si="785">ROUND(K777/(K$775+K$777+K$779+K$781+K$783+K$785+K$787+K$789+K$791),3)</f>
        <v>0.249</v>
      </c>
      <c r="L778" s="40">
        <f>ROUND(L777/(L$775+L$777+L$779+L$781+L$783+L$785+L$787+L$789+L$791),3)</f>
        <v>0.24099999999999999</v>
      </c>
      <c r="M778" s="41">
        <f t="shared" ref="M778:O778" si="786">ROUND(M777/(M$775+M$777+M$779+M$781+M$783+M$785+M$787+M$789+M$791),3)</f>
        <v>0.22900000000000001</v>
      </c>
      <c r="N778" s="41">
        <f t="shared" si="786"/>
        <v>0.219</v>
      </c>
      <c r="O778" s="41">
        <f t="shared" si="786"/>
        <v>0.254</v>
      </c>
      <c r="P778" s="202"/>
      <c r="Q778" s="202"/>
      <c r="R778" s="202"/>
      <c r="S778" s="202"/>
      <c r="AL778" s="7"/>
      <c r="AN778" s="1"/>
    </row>
    <row r="779" spans="3:40" ht="12.75" customHeight="1" x14ac:dyDescent="0.15">
      <c r="D779" s="257" t="s">
        <v>126</v>
      </c>
      <c r="E779" s="258"/>
      <c r="F779" s="258"/>
      <c r="G779" s="265"/>
      <c r="H779" s="22">
        <f>I779+J779+K779</f>
        <v>169</v>
      </c>
      <c r="I779" s="23">
        <v>27</v>
      </c>
      <c r="J779" s="23">
        <v>44</v>
      </c>
      <c r="K779" s="24">
        <v>98</v>
      </c>
      <c r="L779" s="22">
        <f>M779+N779+O779</f>
        <v>180</v>
      </c>
      <c r="M779" s="23">
        <v>34</v>
      </c>
      <c r="N779" s="23">
        <v>51</v>
      </c>
      <c r="O779" s="23">
        <v>95</v>
      </c>
      <c r="P779" s="23">
        <f>Q779+R779+S779</f>
        <v>219</v>
      </c>
      <c r="Q779" s="23">
        <v>28</v>
      </c>
      <c r="R779" s="23">
        <v>62</v>
      </c>
      <c r="S779" s="23">
        <v>129</v>
      </c>
      <c r="AL779" s="7"/>
      <c r="AN779" s="1"/>
    </row>
    <row r="780" spans="3:40" ht="12.75" customHeight="1" x14ac:dyDescent="0.15">
      <c r="D780" s="259"/>
      <c r="E780" s="260"/>
      <c r="F780" s="260"/>
      <c r="G780" s="266"/>
      <c r="H780" s="40">
        <f>ROUND(H779/(H$775+H$777+H$779+H$781+H$783+H$785+H$787+H$789+H$791),3)</f>
        <v>0.189</v>
      </c>
      <c r="I780" s="41">
        <f t="shared" ref="I780" si="787">ROUND(I779/(I$775+I$777+I$779+I$781+I$783+I$785+I$787+I$789+I$791),3)</f>
        <v>0.32900000000000001</v>
      </c>
      <c r="J780" s="41">
        <f t="shared" ref="J780" si="788">ROUND(J779/(J$775+J$777+J$779+J$781+J$783+J$785+J$787+J$789+J$791),3)</f>
        <v>0.18</v>
      </c>
      <c r="K780" s="42">
        <f t="shared" ref="K780" si="789">ROUND(K779/(K$775+K$777+K$779+K$781+K$783+K$785+K$787+K$789+K$791),3)</f>
        <v>0.17299999999999999</v>
      </c>
      <c r="L780" s="40">
        <f>ROUND(L779/(L$775+L$777+L$779+L$781+L$783+L$785+L$787+L$789+L$791),3)+0.001</f>
        <v>0.192</v>
      </c>
      <c r="M780" s="41">
        <f t="shared" ref="M780:O780" si="790">ROUND(M779/(M$775+M$777+M$779+M$781+M$783+M$785+M$787+M$789+M$791),3)</f>
        <v>0.312</v>
      </c>
      <c r="N780" s="41">
        <f t="shared" si="790"/>
        <v>0.19</v>
      </c>
      <c r="O780" s="41">
        <f t="shared" si="790"/>
        <v>0.16900000000000001</v>
      </c>
      <c r="P780" s="41">
        <f>ROUND(P779/(P$775+P$779+P$781+P$783+P$785+P$787+P$789+P$793),3)</f>
        <v>0.27800000000000002</v>
      </c>
      <c r="Q780" s="41">
        <f>ROUND(Q779/(Q$775+Q$779+Q$781+Q$783+Q$785+Q$787+Q$789+Q$793),3)</f>
        <v>0.42399999999999999</v>
      </c>
      <c r="R780" s="41">
        <f>ROUND(R779/(R$775+R$779+R$781+R$783+R$785+R$787+R$789+R$793),3)</f>
        <v>0.24199999999999999</v>
      </c>
      <c r="S780" s="41">
        <f t="shared" ref="S780" si="791">ROUND(S779/(S$775+S$779+S$781+S$783+S$785+S$787+S$789+S$793),3)</f>
        <v>0.27700000000000002</v>
      </c>
      <c r="AL780" s="7"/>
      <c r="AN780" s="1"/>
    </row>
    <row r="781" spans="3:40" ht="12.75" customHeight="1" x14ac:dyDescent="0.15">
      <c r="D781" s="257" t="s">
        <v>127</v>
      </c>
      <c r="E781" s="258"/>
      <c r="F781" s="258"/>
      <c r="G781" s="265"/>
      <c r="H781" s="22">
        <f>I781+J781+K781</f>
        <v>86</v>
      </c>
      <c r="I781" s="23">
        <v>10</v>
      </c>
      <c r="J781" s="23">
        <v>19</v>
      </c>
      <c r="K781" s="24">
        <v>57</v>
      </c>
      <c r="L781" s="22">
        <f>M781+N781+O781</f>
        <v>92</v>
      </c>
      <c r="M781" s="23">
        <v>12</v>
      </c>
      <c r="N781" s="23">
        <v>18</v>
      </c>
      <c r="O781" s="23">
        <v>62</v>
      </c>
      <c r="P781" s="23">
        <f>Q781+R781+S781</f>
        <v>38</v>
      </c>
      <c r="Q781" s="23">
        <v>4</v>
      </c>
      <c r="R781" s="23">
        <v>7</v>
      </c>
      <c r="S781" s="23">
        <v>27</v>
      </c>
      <c r="AL781" s="7"/>
      <c r="AN781" s="1"/>
    </row>
    <row r="782" spans="3:40" ht="12.75" customHeight="1" x14ac:dyDescent="0.15">
      <c r="D782" s="259"/>
      <c r="E782" s="260"/>
      <c r="F782" s="260"/>
      <c r="G782" s="266"/>
      <c r="H782" s="40">
        <f>ROUND(H781/(H$775+H$777+H$779+H$781+H$783+H$785+H$787+H$789+H$791),3)</f>
        <v>9.6000000000000002E-2</v>
      </c>
      <c r="I782" s="41">
        <f t="shared" ref="I782" si="792">ROUND(I781/(I$775+I$777+I$779+I$781+I$783+I$785+I$787+I$789+I$791),3)</f>
        <v>0.122</v>
      </c>
      <c r="J782" s="41">
        <f t="shared" ref="J782" si="793">ROUND(J781/(J$775+J$777+J$779+J$781+J$783+J$785+J$787+J$789+J$791),3)</f>
        <v>7.8E-2</v>
      </c>
      <c r="K782" s="42">
        <f t="shared" ref="K782" si="794">ROUND(K781/(K$775+K$777+K$779+K$781+K$783+K$785+K$787+K$789+K$791),3)</f>
        <v>0.10100000000000001</v>
      </c>
      <c r="L782" s="40">
        <f>ROUND(L781/(L$775+L$777+L$779+L$781+L$783+L$785+L$787+L$789+L$791),3)</f>
        <v>9.8000000000000004E-2</v>
      </c>
      <c r="M782" s="41">
        <f t="shared" ref="M782:O782" si="795">ROUND(M781/(M$775+M$777+M$779+M$781+M$783+M$785+M$787+M$789+M$791),3)</f>
        <v>0.11</v>
      </c>
      <c r="N782" s="41">
        <f t="shared" si="795"/>
        <v>6.7000000000000004E-2</v>
      </c>
      <c r="O782" s="41">
        <f t="shared" si="795"/>
        <v>0.11</v>
      </c>
      <c r="P782" s="41">
        <f>ROUND(P781/(P$775+P$779+P$781+P$783+P$785+P$787+P$789+P$793),3)</f>
        <v>4.8000000000000001E-2</v>
      </c>
      <c r="Q782" s="41">
        <f>ROUND(Q781/(Q$775+Q$779+Q$781+Q$783+Q$785+Q$787+Q$789+Q$793),3)</f>
        <v>6.0999999999999999E-2</v>
      </c>
      <c r="R782" s="41">
        <f>ROUND(R781/(R$775+R$779+R$781+R$783+R$785+R$787+R$789+R$793),3)</f>
        <v>2.7E-2</v>
      </c>
      <c r="S782" s="41">
        <f t="shared" ref="S782" si="796">ROUND(S781/(S$775+S$779+S$781+S$783+S$785+S$787+S$789+S$793),3)</f>
        <v>5.8000000000000003E-2</v>
      </c>
      <c r="AL782" s="7"/>
      <c r="AN782" s="1"/>
    </row>
    <row r="783" spans="3:40" ht="12.75" customHeight="1" x14ac:dyDescent="0.15">
      <c r="D783" s="257" t="s">
        <v>129</v>
      </c>
      <c r="E783" s="258"/>
      <c r="F783" s="258"/>
      <c r="G783" s="265"/>
      <c r="H783" s="22">
        <f>I783+J783+K783</f>
        <v>52</v>
      </c>
      <c r="I783" s="23">
        <v>0</v>
      </c>
      <c r="J783" s="23">
        <v>31</v>
      </c>
      <c r="K783" s="24">
        <v>21</v>
      </c>
      <c r="L783" s="22">
        <f>M783+N783+O783</f>
        <v>72</v>
      </c>
      <c r="M783" s="23">
        <v>2</v>
      </c>
      <c r="N783" s="23">
        <v>37</v>
      </c>
      <c r="O783" s="23">
        <v>33</v>
      </c>
      <c r="P783" s="23">
        <f>Q783+R783+S783</f>
        <v>96</v>
      </c>
      <c r="Q783" s="23">
        <v>2</v>
      </c>
      <c r="R783" s="23">
        <v>43</v>
      </c>
      <c r="S783" s="23">
        <v>51</v>
      </c>
      <c r="AL783" s="7"/>
      <c r="AN783" s="1"/>
    </row>
    <row r="784" spans="3:40" ht="12.75" customHeight="1" x14ac:dyDescent="0.15">
      <c r="D784" s="259"/>
      <c r="E784" s="260"/>
      <c r="F784" s="260"/>
      <c r="G784" s="266"/>
      <c r="H784" s="40">
        <f>ROUND(H783/(H$775+H$777+H$779+H$781+H$783+H$785+H$787+H$789+H$791),3)</f>
        <v>5.8000000000000003E-2</v>
      </c>
      <c r="I784" s="41">
        <f t="shared" ref="I784" si="797">ROUND(I783/(I$775+I$777+I$779+I$781+I$783+I$785+I$787+I$789+I$791),3)</f>
        <v>0</v>
      </c>
      <c r="J784" s="41">
        <f t="shared" ref="J784" si="798">ROUND(J783/(J$775+J$777+J$779+J$781+J$783+J$785+J$787+J$789+J$791),3)</f>
        <v>0.127</v>
      </c>
      <c r="K784" s="42">
        <f t="shared" ref="K784" si="799">ROUND(K783/(K$775+K$777+K$779+K$781+K$783+K$785+K$787+K$789+K$791),3)</f>
        <v>3.6999999999999998E-2</v>
      </c>
      <c r="L784" s="40">
        <f>ROUND(L783/(L$775+L$777+L$779+L$781+L$783+L$785+L$787+L$789+L$791),3)</f>
        <v>7.6999999999999999E-2</v>
      </c>
      <c r="M784" s="41">
        <f t="shared" ref="M784:O784" si="800">ROUND(M783/(M$775+M$777+M$779+M$781+M$783+M$785+M$787+M$789+M$791),3)</f>
        <v>1.7999999999999999E-2</v>
      </c>
      <c r="N784" s="41">
        <f t="shared" si="800"/>
        <v>0.13800000000000001</v>
      </c>
      <c r="O784" s="41">
        <f t="shared" si="800"/>
        <v>5.8999999999999997E-2</v>
      </c>
      <c r="P784" s="41">
        <f>ROUND(P783/(P$775+P$779+P$781+P$783+P$785+P$787+P$789+P$793),3)</f>
        <v>0.122</v>
      </c>
      <c r="Q784" s="41">
        <f>ROUND(Q783/(Q$775+Q$779+Q$781+Q$783+Q$785+Q$787+Q$789+Q$793),3)</f>
        <v>0.03</v>
      </c>
      <c r="R784" s="41">
        <f>ROUND(R783/(R$775+R$779+R$781+R$783+R$785+R$787+R$789+R$793),3)</f>
        <v>0.16800000000000001</v>
      </c>
      <c r="S784" s="41">
        <f>ROUND(S783/(S$775+S$779+S$781+S$783+S$785+S$787+S$789+S$793),3)-0.001</f>
        <v>0.109</v>
      </c>
      <c r="AL784" s="7"/>
      <c r="AN784" s="1"/>
    </row>
    <row r="785" spans="4:40" ht="12.75" customHeight="1" x14ac:dyDescent="0.15">
      <c r="D785" s="257" t="s">
        <v>128</v>
      </c>
      <c r="E785" s="258"/>
      <c r="F785" s="258"/>
      <c r="G785" s="265"/>
      <c r="H785" s="22">
        <f>I785+J785+K785</f>
        <v>35</v>
      </c>
      <c r="I785" s="23">
        <v>1</v>
      </c>
      <c r="J785" s="23">
        <v>16</v>
      </c>
      <c r="K785" s="24">
        <v>18</v>
      </c>
      <c r="L785" s="22">
        <f>M785+N785+O785</f>
        <v>32</v>
      </c>
      <c r="M785" s="23">
        <v>4</v>
      </c>
      <c r="N785" s="23">
        <v>17</v>
      </c>
      <c r="O785" s="23">
        <v>11</v>
      </c>
      <c r="P785" s="23">
        <f>Q785+R785+S785</f>
        <v>26</v>
      </c>
      <c r="Q785" s="23">
        <v>4</v>
      </c>
      <c r="R785" s="23">
        <v>12</v>
      </c>
      <c r="S785" s="23">
        <v>10</v>
      </c>
      <c r="AL785" s="7"/>
      <c r="AN785" s="1"/>
    </row>
    <row r="786" spans="4:40" ht="12.75" customHeight="1" x14ac:dyDescent="0.15">
      <c r="D786" s="259"/>
      <c r="E786" s="260"/>
      <c r="F786" s="260"/>
      <c r="G786" s="266"/>
      <c r="H786" s="40">
        <f>ROUND(H785/(H$775+H$777+H$779+H$781+H$783+H$785+H$787+H$789+H$791),3)</f>
        <v>3.9E-2</v>
      </c>
      <c r="I786" s="41">
        <f t="shared" ref="I786" si="801">ROUND(I785/(I$775+I$777+I$779+I$781+I$783+I$785+I$787+I$789+I$791),3)</f>
        <v>1.2E-2</v>
      </c>
      <c r="J786" s="41">
        <f t="shared" ref="J786" si="802">ROUND(J785/(J$775+J$777+J$779+J$781+J$783+J$785+J$787+J$789+J$791),3)</f>
        <v>6.6000000000000003E-2</v>
      </c>
      <c r="K786" s="42">
        <f t="shared" ref="K786" si="803">ROUND(K785/(K$775+K$777+K$779+K$781+K$783+K$785+K$787+K$789+K$791),3)</f>
        <v>3.2000000000000001E-2</v>
      </c>
      <c r="L786" s="40">
        <f>ROUND(L785/(L$775+L$777+L$779+L$781+L$783+L$785+L$787+L$789+L$791),3)</f>
        <v>3.4000000000000002E-2</v>
      </c>
      <c r="M786" s="41">
        <f t="shared" ref="M786:O786" si="804">ROUND(M785/(M$775+M$777+M$779+M$781+M$783+M$785+M$787+M$789+M$791),3)</f>
        <v>3.6999999999999998E-2</v>
      </c>
      <c r="N786" s="41">
        <f t="shared" si="804"/>
        <v>6.3E-2</v>
      </c>
      <c r="O786" s="41">
        <f t="shared" si="804"/>
        <v>0.02</v>
      </c>
      <c r="P786" s="41">
        <f>ROUND(P785/(P$775+P$779+P$781+P$783+P$785+P$787+P$789+P$793),3)</f>
        <v>3.3000000000000002E-2</v>
      </c>
      <c r="Q786" s="41">
        <f>ROUND(Q785/(Q$775+Q$779+Q$781+Q$783+Q$785+Q$787+Q$789+Q$793),3)</f>
        <v>6.0999999999999999E-2</v>
      </c>
      <c r="R786" s="41">
        <f>ROUND(R785/(R$775+R$779+R$781+R$783+R$785+R$787+R$789+R$793),3)-0.001</f>
        <v>4.5999999999999999E-2</v>
      </c>
      <c r="S786" s="41">
        <f t="shared" ref="S786" si="805">ROUND(S785/(S$775+S$779+S$781+S$783+S$785+S$787+S$789+S$793),3)</f>
        <v>2.1999999999999999E-2</v>
      </c>
      <c r="AL786" s="7"/>
      <c r="AN786" s="1"/>
    </row>
    <row r="787" spans="4:40" ht="12.75" customHeight="1" x14ac:dyDescent="0.15">
      <c r="D787" s="257" t="s">
        <v>58</v>
      </c>
      <c r="E787" s="258"/>
      <c r="F787" s="258"/>
      <c r="G787" s="265"/>
      <c r="H787" s="22">
        <f>I787+J787+K787</f>
        <v>25</v>
      </c>
      <c r="I787" s="23">
        <v>3</v>
      </c>
      <c r="J787" s="23">
        <v>2</v>
      </c>
      <c r="K787" s="24">
        <v>20</v>
      </c>
      <c r="L787" s="22">
        <f>M787+N787+O787</f>
        <v>26</v>
      </c>
      <c r="M787" s="23">
        <v>1</v>
      </c>
      <c r="N787" s="23">
        <v>6</v>
      </c>
      <c r="O787" s="23">
        <v>19</v>
      </c>
      <c r="P787" s="23">
        <f>Q787+R787+S787</f>
        <v>15</v>
      </c>
      <c r="Q787" s="23">
        <v>1</v>
      </c>
      <c r="R787" s="23">
        <v>4</v>
      </c>
      <c r="S787" s="23">
        <v>10</v>
      </c>
      <c r="AL787" s="7"/>
      <c r="AN787" s="1"/>
    </row>
    <row r="788" spans="4:40" ht="12.75" customHeight="1" x14ac:dyDescent="0.15">
      <c r="D788" s="259"/>
      <c r="E788" s="260"/>
      <c r="F788" s="260"/>
      <c r="G788" s="266"/>
      <c r="H788" s="40">
        <f>ROUND(H787/(H$775+H$777+H$779+H$781+H$783+H$785+H$787+H$789+H$791),3)</f>
        <v>2.8000000000000001E-2</v>
      </c>
      <c r="I788" s="41">
        <f t="shared" ref="I788" si="806">ROUND(I787/(I$775+I$777+I$779+I$781+I$783+I$785+I$787+I$789+I$791),3)</f>
        <v>3.6999999999999998E-2</v>
      </c>
      <c r="J788" s="41">
        <f t="shared" ref="J788" si="807">ROUND(J787/(J$775+J$777+J$779+J$781+J$783+J$785+J$787+J$789+J$791),3)</f>
        <v>8.0000000000000002E-3</v>
      </c>
      <c r="K788" s="42">
        <f t="shared" ref="K788" si="808">ROUND(K787/(K$775+K$777+K$779+K$781+K$783+K$785+K$787+K$789+K$791),3)</f>
        <v>3.5000000000000003E-2</v>
      </c>
      <c r="L788" s="40">
        <f>ROUND(L787/(L$775+L$777+L$779+L$781+L$783+L$785+L$787+L$789+L$791),3)</f>
        <v>2.8000000000000001E-2</v>
      </c>
      <c r="M788" s="41">
        <f t="shared" ref="M788:O788" si="809">ROUND(M787/(M$775+M$777+M$779+M$781+M$783+M$785+M$787+M$789+M$791),3)</f>
        <v>8.9999999999999993E-3</v>
      </c>
      <c r="N788" s="41">
        <f t="shared" si="809"/>
        <v>2.1999999999999999E-2</v>
      </c>
      <c r="O788" s="41">
        <f t="shared" si="809"/>
        <v>3.4000000000000002E-2</v>
      </c>
      <c r="P788" s="41">
        <f>ROUND(P787/(P$775+P$779+P$781+P$783+P$785+P$787+P$789+P$793),3)</f>
        <v>1.9E-2</v>
      </c>
      <c r="Q788" s="41">
        <f>ROUND(Q787/(Q$775+Q$779+Q$781+Q$783+Q$785+Q$787+Q$789+Q$793),3)</f>
        <v>1.4999999999999999E-2</v>
      </c>
      <c r="R788" s="41">
        <f>ROUND(R787/(R$775+R$779+R$781+R$783+R$785+R$787+R$789+R$793),3)</f>
        <v>1.6E-2</v>
      </c>
      <c r="S788" s="41">
        <f t="shared" ref="S788" si="810">ROUND(S787/(S$775+S$779+S$781+S$783+S$785+S$787+S$789+S$793),3)</f>
        <v>2.1999999999999999E-2</v>
      </c>
      <c r="AL788" s="7"/>
      <c r="AN788" s="1"/>
    </row>
    <row r="789" spans="4:40" ht="12.75" customHeight="1" x14ac:dyDescent="0.15">
      <c r="D789" s="257" t="s">
        <v>115</v>
      </c>
      <c r="E789" s="258"/>
      <c r="F789" s="258"/>
      <c r="G789" s="265"/>
      <c r="H789" s="22">
        <f>I789+J789+K789</f>
        <v>16</v>
      </c>
      <c r="I789" s="23">
        <v>1</v>
      </c>
      <c r="J789" s="23">
        <v>1</v>
      </c>
      <c r="K789" s="24">
        <v>14</v>
      </c>
      <c r="L789" s="22">
        <f>M789+N789+O789</f>
        <v>22</v>
      </c>
      <c r="M789" s="23">
        <v>3</v>
      </c>
      <c r="N789" s="23">
        <v>7</v>
      </c>
      <c r="O789" s="23">
        <v>12</v>
      </c>
      <c r="P789" s="23">
        <f>Q789+R789+S789</f>
        <v>47</v>
      </c>
      <c r="Q789" s="23">
        <v>5</v>
      </c>
      <c r="R789" s="23">
        <v>16</v>
      </c>
      <c r="S789" s="23">
        <v>26</v>
      </c>
      <c r="AL789" s="7"/>
      <c r="AN789" s="1"/>
    </row>
    <row r="790" spans="4:40" ht="12.75" customHeight="1" x14ac:dyDescent="0.15">
      <c r="D790" s="259"/>
      <c r="E790" s="260"/>
      <c r="F790" s="260"/>
      <c r="G790" s="266"/>
      <c r="H790" s="40">
        <f>ROUND(H789/(H$775+H$777+H$779+H$781+H$783+H$785+H$787+H$789+H$791),3)</f>
        <v>1.7999999999999999E-2</v>
      </c>
      <c r="I790" s="41">
        <f t="shared" ref="I790" si="811">ROUND(I789/(I$775+I$777+I$779+I$781+I$783+I$785+I$787+I$789+I$791),3)</f>
        <v>1.2E-2</v>
      </c>
      <c r="J790" s="41">
        <f t="shared" ref="J790" si="812">ROUND(J789/(J$775+J$777+J$779+J$781+J$783+J$785+J$787+J$789+J$791),3)</f>
        <v>4.0000000000000001E-3</v>
      </c>
      <c r="K790" s="42">
        <f t="shared" ref="K790" si="813">ROUND(K789/(K$775+K$777+K$779+K$781+K$783+K$785+K$787+K$789+K$791),3)</f>
        <v>2.5000000000000001E-2</v>
      </c>
      <c r="L790" s="40">
        <f>ROUND(L789/(L$775+L$777+L$779+L$781+L$783+L$785+L$787+L$789+L$791),3)</f>
        <v>2.3E-2</v>
      </c>
      <c r="M790" s="41">
        <f t="shared" ref="M790:O790" si="814">ROUND(M789/(M$775+M$777+M$779+M$781+M$783+M$785+M$787+M$789+M$791),3)</f>
        <v>2.8000000000000001E-2</v>
      </c>
      <c r="N790" s="41">
        <f t="shared" si="814"/>
        <v>2.5999999999999999E-2</v>
      </c>
      <c r="O790" s="41">
        <f t="shared" si="814"/>
        <v>2.1000000000000001E-2</v>
      </c>
      <c r="P790" s="41">
        <f>ROUND(P789/(P$775+P$779+P$781+P$783+P$785+P$787+P$789+P$793),3)</f>
        <v>0.06</v>
      </c>
      <c r="Q790" s="41">
        <f>ROUND(Q789/(Q$775+Q$779+Q$781+Q$783+Q$785+Q$787+Q$789+Q$793),3)</f>
        <v>7.5999999999999998E-2</v>
      </c>
      <c r="R790" s="41">
        <f>ROUND(R789/(R$775+R$779+R$781+R$783+R$785+R$787+R$789+R$793),3)</f>
        <v>6.3E-2</v>
      </c>
      <c r="S790" s="41">
        <f t="shared" ref="S790" si="815">ROUND(S789/(S$775+S$779+S$781+S$783+S$785+S$787+S$789+S$793),3)</f>
        <v>5.6000000000000001E-2</v>
      </c>
      <c r="AL790" s="7"/>
      <c r="AN790" s="1"/>
    </row>
    <row r="791" spans="4:40" ht="12.75" customHeight="1" x14ac:dyDescent="0.15">
      <c r="D791" s="257" t="s">
        <v>88</v>
      </c>
      <c r="E791" s="258"/>
      <c r="F791" s="258"/>
      <c r="G791" s="265"/>
      <c r="H791" s="22">
        <f>I791+J791+K791</f>
        <v>11</v>
      </c>
      <c r="I791" s="23">
        <v>3</v>
      </c>
      <c r="J791" s="23">
        <v>4</v>
      </c>
      <c r="K791" s="24">
        <v>4</v>
      </c>
      <c r="L791" s="22">
        <f>M791+N791+O791</f>
        <v>17</v>
      </c>
      <c r="M791" s="23">
        <v>3</v>
      </c>
      <c r="N791" s="23">
        <v>6</v>
      </c>
      <c r="O791" s="23">
        <v>8</v>
      </c>
      <c r="P791" s="201" t="s">
        <v>7</v>
      </c>
      <c r="Q791" s="201" t="s">
        <v>260</v>
      </c>
      <c r="R791" s="201" t="s">
        <v>259</v>
      </c>
      <c r="S791" s="201" t="s">
        <v>260</v>
      </c>
      <c r="AL791" s="7"/>
      <c r="AN791" s="1"/>
    </row>
    <row r="792" spans="4:40" ht="12.75" customHeight="1" x14ac:dyDescent="0.15">
      <c r="D792" s="259"/>
      <c r="E792" s="260"/>
      <c r="F792" s="260"/>
      <c r="G792" s="266"/>
      <c r="H792" s="40">
        <f>ROUND(H791/(H$775+H$777+H$779+H$781+H$783+H$785+H$787+H$789+H$791),3)</f>
        <v>1.2E-2</v>
      </c>
      <c r="I792" s="41">
        <f t="shared" ref="I792" si="816">ROUND(I791/(I$775+I$777+I$779+I$781+I$783+I$785+I$787+I$789+I$791),3)</f>
        <v>3.6999999999999998E-2</v>
      </c>
      <c r="J792" s="41">
        <f t="shared" ref="J792" si="817">ROUND(J791/(J$775+J$777+J$779+J$781+J$783+J$785+J$787+J$789+J$791),3)</f>
        <v>1.6E-2</v>
      </c>
      <c r="K792" s="42">
        <f t="shared" ref="K792" si="818">ROUND(K791/(K$775+K$777+K$779+K$781+K$783+K$785+K$787+K$789+K$791),3)</f>
        <v>7.0000000000000001E-3</v>
      </c>
      <c r="L792" s="40">
        <f>ROUND(L791/(L$775+L$777+L$779+L$781+L$783+L$785+L$787+L$789+L$791),3)</f>
        <v>1.7999999999999999E-2</v>
      </c>
      <c r="M792" s="41">
        <f t="shared" ref="M792:O792" si="819">ROUND(M791/(M$775+M$777+M$779+M$781+M$783+M$785+M$787+M$789+M$791),3)</f>
        <v>2.8000000000000001E-2</v>
      </c>
      <c r="N792" s="41">
        <f t="shared" si="819"/>
        <v>2.1999999999999999E-2</v>
      </c>
      <c r="O792" s="41">
        <f t="shared" si="819"/>
        <v>1.4E-2</v>
      </c>
      <c r="P792" s="202"/>
      <c r="Q792" s="202"/>
      <c r="R792" s="202"/>
      <c r="S792" s="202"/>
      <c r="AL792" s="7"/>
      <c r="AN792" s="1"/>
    </row>
    <row r="793" spans="4:40" ht="12.75" customHeight="1" x14ac:dyDescent="0.15">
      <c r="D793" s="257" t="s">
        <v>19</v>
      </c>
      <c r="E793" s="258"/>
      <c r="F793" s="258"/>
      <c r="G793" s="265"/>
      <c r="H793" s="182" t="s">
        <v>7</v>
      </c>
      <c r="I793" s="176" t="s">
        <v>7</v>
      </c>
      <c r="J793" s="176" t="s">
        <v>7</v>
      </c>
      <c r="K793" s="180" t="s">
        <v>7</v>
      </c>
      <c r="L793" s="182" t="s">
        <v>7</v>
      </c>
      <c r="M793" s="176" t="s">
        <v>7</v>
      </c>
      <c r="N793" s="176" t="s">
        <v>7</v>
      </c>
      <c r="O793" s="176" t="s">
        <v>7</v>
      </c>
      <c r="P793" s="23">
        <f>Q793+R793+S793</f>
        <v>144</v>
      </c>
      <c r="Q793" s="23">
        <v>5</v>
      </c>
      <c r="R793" s="23">
        <v>48</v>
      </c>
      <c r="S793" s="23">
        <v>91</v>
      </c>
      <c r="AL793" s="7"/>
      <c r="AN793" s="1"/>
    </row>
    <row r="794" spans="4:40" ht="12.75" customHeight="1" x14ac:dyDescent="0.15">
      <c r="D794" s="259"/>
      <c r="E794" s="260"/>
      <c r="F794" s="260"/>
      <c r="G794" s="266"/>
      <c r="H794" s="183"/>
      <c r="I794" s="177"/>
      <c r="J794" s="177"/>
      <c r="K794" s="181"/>
      <c r="L794" s="183"/>
      <c r="M794" s="177"/>
      <c r="N794" s="177"/>
      <c r="O794" s="177"/>
      <c r="P794" s="41">
        <f>ROUND(P793/(P$775+P$779+P$781+P$783+P$785+P$787+P$789+P$793),3)</f>
        <v>0.183</v>
      </c>
      <c r="Q794" s="41">
        <f>ROUND(Q793/(Q$775+Q$779+Q$781+Q$783+Q$785+Q$787+Q$789+Q$793),3)</f>
        <v>7.5999999999999998E-2</v>
      </c>
      <c r="R794" s="41">
        <f>ROUND(R793/(R$775+R$779+R$781+R$783+R$785+R$787+R$789+R$793),3)</f>
        <v>0.188</v>
      </c>
      <c r="S794" s="41">
        <f t="shared" ref="S794" si="820">ROUND(S793/(S$775+S$779+S$781+S$783+S$785+S$787+S$789+S$793),3)</f>
        <v>0.19600000000000001</v>
      </c>
      <c r="AL794" s="7"/>
      <c r="AN794" s="1"/>
    </row>
    <row r="795" spans="4:40" ht="12.75" customHeight="1" x14ac:dyDescent="0.15">
      <c r="D795" s="203" t="s">
        <v>20</v>
      </c>
      <c r="E795" s="197"/>
      <c r="F795" s="197"/>
      <c r="G795" s="248"/>
      <c r="H795" s="22">
        <f>H775+H777+H779+H781+H783+H785+H787+H789+H791</f>
        <v>893</v>
      </c>
      <c r="I795" s="23">
        <f t="shared" ref="I795:K795" si="821">I775+I777+I779+I781+I783+I785+I787+I789+I791</f>
        <v>82</v>
      </c>
      <c r="J795" s="23">
        <f t="shared" si="821"/>
        <v>244</v>
      </c>
      <c r="K795" s="24">
        <f t="shared" si="821"/>
        <v>567</v>
      </c>
      <c r="L795" s="22">
        <f>L775+L777+L779+L781+L783+L785+L787+L789+L791</f>
        <v>940</v>
      </c>
      <c r="M795" s="23">
        <f t="shared" ref="M795:O795" si="822">M775+M777+M779+M781+M783+M785+M787+M789+M791</f>
        <v>109</v>
      </c>
      <c r="N795" s="23">
        <f t="shared" si="822"/>
        <v>269</v>
      </c>
      <c r="O795" s="23">
        <f t="shared" si="822"/>
        <v>562</v>
      </c>
      <c r="P795" s="23">
        <f>P775+P779+P781+P783+P785+P787+P789+P793</f>
        <v>787</v>
      </c>
      <c r="Q795" s="23">
        <f>Q775+Q779+Q781+Q783+Q785+Q787+Q789+Q793</f>
        <v>66</v>
      </c>
      <c r="R795" s="23">
        <f>R775+R779+R781+R783+R785+R787+R789+R793</f>
        <v>256</v>
      </c>
      <c r="S795" s="23">
        <f t="shared" ref="S795" si="823">S775+S779+S781+S783+S785+S787+S789+S793</f>
        <v>465</v>
      </c>
      <c r="AL795" s="7"/>
      <c r="AN795" s="1"/>
    </row>
    <row r="796" spans="4:40" ht="12.75" customHeight="1" thickBot="1" x14ac:dyDescent="0.2">
      <c r="D796" s="210"/>
      <c r="E796" s="211"/>
      <c r="F796" s="211"/>
      <c r="G796" s="249"/>
      <c r="H796" s="133">
        <f>H776+H778+H780+H782+H784+H786+H788+H790+H792</f>
        <v>0.99900000000000011</v>
      </c>
      <c r="I796" s="134">
        <f t="shared" ref="I796:K796" si="824">I776+I778+I780+I782+I784+I786+I788+I790+I792</f>
        <v>1</v>
      </c>
      <c r="J796" s="134">
        <f t="shared" si="824"/>
        <v>1</v>
      </c>
      <c r="K796" s="135">
        <f t="shared" si="824"/>
        <v>1.0010000000000001</v>
      </c>
      <c r="L796" s="137">
        <f>L776+L778+L780+L782+L784+L786+L788+L790+L792</f>
        <v>1</v>
      </c>
      <c r="M796" s="136">
        <f t="shared" ref="M796:O796" si="825">M776+M778+M780+M782+M784+M786+M788+M790+M792</f>
        <v>1</v>
      </c>
      <c r="N796" s="136">
        <f t="shared" si="825"/>
        <v>1</v>
      </c>
      <c r="O796" s="136">
        <f t="shared" si="825"/>
        <v>1</v>
      </c>
      <c r="P796" s="136">
        <f>P776+P780+P782+P784+P786+P788+P790+P794</f>
        <v>1.0000000000000002</v>
      </c>
      <c r="Q796" s="136">
        <f>Q776+Q780+Q782+Q784+Q786+Q788+Q790+Q792+Q794</f>
        <v>0.99999999999999989</v>
      </c>
      <c r="R796" s="136">
        <f>R776+R780+R782+R784+R786+R788+R790+R792+R794</f>
        <v>1</v>
      </c>
      <c r="S796" s="136">
        <f t="shared" ref="S796" si="826">S776+S780+S782+S784+S786+S788+S790+S792+S794</f>
        <v>1.0000000000000002</v>
      </c>
      <c r="AL796" s="7"/>
      <c r="AN796" s="1"/>
    </row>
    <row r="797" spans="4:40" x14ac:dyDescent="0.15">
      <c r="D797" s="82"/>
      <c r="E797" s="129"/>
      <c r="F797" s="69"/>
      <c r="G797" s="69"/>
      <c r="H797" s="69"/>
      <c r="I797" s="69"/>
      <c r="J797" s="57"/>
      <c r="K797" s="57"/>
      <c r="L797" s="57"/>
      <c r="M797" s="57"/>
      <c r="N797" s="57"/>
      <c r="O797" s="57"/>
      <c r="P797" s="57"/>
      <c r="Q797" s="57"/>
      <c r="R797" s="50"/>
      <c r="S797" s="50"/>
      <c r="V797" s="34"/>
      <c r="W797" s="2"/>
    </row>
    <row r="798" spans="4:40" x14ac:dyDescent="0.15">
      <c r="D798" s="82"/>
      <c r="E798" s="129"/>
      <c r="F798" s="69"/>
      <c r="G798" s="69"/>
      <c r="H798" s="69"/>
      <c r="I798" s="69"/>
      <c r="J798" s="57"/>
      <c r="K798" s="57"/>
      <c r="L798" s="57"/>
      <c r="M798" s="57"/>
      <c r="N798" s="57"/>
      <c r="O798" s="57"/>
      <c r="P798" s="57"/>
      <c r="Q798" s="57"/>
      <c r="R798" s="50"/>
      <c r="S798" s="50"/>
      <c r="V798" s="34"/>
      <c r="W798" s="2"/>
    </row>
    <row r="799" spans="4:40" x14ac:dyDescent="0.15">
      <c r="D799" s="82"/>
      <c r="E799" s="129"/>
      <c r="F799" s="69"/>
      <c r="G799" s="69"/>
      <c r="H799" s="69"/>
      <c r="I799" s="69"/>
      <c r="J799" s="57"/>
      <c r="K799" s="57"/>
      <c r="L799" s="57"/>
      <c r="M799" s="57"/>
      <c r="N799" s="57"/>
      <c r="O799" s="57"/>
      <c r="P799" s="57"/>
      <c r="Q799" s="57"/>
      <c r="R799" s="50"/>
      <c r="S799" s="50"/>
      <c r="V799" s="34"/>
      <c r="W799" s="2"/>
    </row>
    <row r="800" spans="4:40" x14ac:dyDescent="0.15">
      <c r="D800" s="82"/>
      <c r="E800" s="129"/>
      <c r="F800" s="69"/>
      <c r="G800" s="69"/>
      <c r="H800" s="69"/>
      <c r="I800" s="69"/>
      <c r="J800" s="57"/>
      <c r="K800" s="57"/>
      <c r="L800" s="57"/>
      <c r="M800" s="57"/>
      <c r="N800" s="57"/>
      <c r="O800" s="57"/>
      <c r="P800" s="57"/>
      <c r="Q800" s="57"/>
      <c r="R800" s="50"/>
      <c r="S800" s="50"/>
      <c r="T800" s="1" t="s">
        <v>124</v>
      </c>
      <c r="U800" s="6">
        <v>276</v>
      </c>
      <c r="V800" s="34"/>
      <c r="W800" s="2"/>
    </row>
    <row r="801" spans="4:23" x14ac:dyDescent="0.15">
      <c r="D801" s="82"/>
      <c r="E801" s="129"/>
      <c r="F801" s="69"/>
      <c r="G801" s="69"/>
      <c r="H801" s="69"/>
      <c r="I801" s="69"/>
      <c r="J801" s="57"/>
      <c r="K801" s="57"/>
      <c r="L801" s="57"/>
      <c r="M801" s="57"/>
      <c r="N801" s="57"/>
      <c r="O801" s="57"/>
      <c r="P801" s="57"/>
      <c r="Q801" s="57"/>
      <c r="R801" s="50"/>
      <c r="S801" s="50"/>
      <c r="T801" s="281" t="s">
        <v>231</v>
      </c>
      <c r="U801" s="97">
        <v>223</v>
      </c>
      <c r="V801" s="34"/>
      <c r="W801" s="2"/>
    </row>
    <row r="802" spans="4:23" x14ac:dyDescent="0.15">
      <c r="D802" s="82"/>
      <c r="E802" s="129"/>
      <c r="F802" s="69"/>
      <c r="G802" s="69"/>
      <c r="H802" s="69"/>
      <c r="I802" s="69"/>
      <c r="J802" s="57"/>
      <c r="K802" s="57"/>
      <c r="L802" s="57"/>
      <c r="M802" s="57"/>
      <c r="N802" s="57"/>
      <c r="O802" s="57"/>
      <c r="P802" s="57"/>
      <c r="Q802" s="57"/>
      <c r="R802" s="50"/>
      <c r="S802" s="50"/>
      <c r="T802" s="281" t="s">
        <v>233</v>
      </c>
      <c r="U802" s="97">
        <v>169</v>
      </c>
      <c r="V802" s="34"/>
      <c r="W802" s="2"/>
    </row>
    <row r="803" spans="4:23" x14ac:dyDescent="0.15">
      <c r="D803" s="82"/>
      <c r="E803" s="129"/>
      <c r="F803" s="69"/>
      <c r="G803" s="69"/>
      <c r="H803" s="69"/>
      <c r="I803" s="69"/>
      <c r="J803" s="57"/>
      <c r="K803" s="57"/>
      <c r="L803" s="57"/>
      <c r="M803" s="57"/>
      <c r="N803" s="57"/>
      <c r="O803" s="57"/>
      <c r="P803" s="57"/>
      <c r="Q803" s="57"/>
      <c r="R803" s="50"/>
      <c r="S803" s="50"/>
      <c r="T803" s="281" t="s">
        <v>232</v>
      </c>
      <c r="U803" s="97">
        <v>86</v>
      </c>
      <c r="V803" s="34"/>
      <c r="W803" s="2"/>
    </row>
    <row r="804" spans="4:23" x14ac:dyDescent="0.15">
      <c r="D804" s="82"/>
      <c r="E804" s="129"/>
      <c r="F804" s="69"/>
      <c r="G804" s="69"/>
      <c r="H804" s="69"/>
      <c r="I804" s="69"/>
      <c r="J804" s="57"/>
      <c r="K804" s="57"/>
      <c r="L804" s="57"/>
      <c r="M804" s="57"/>
      <c r="N804" s="57"/>
      <c r="O804" s="57"/>
      <c r="P804" s="57"/>
      <c r="Q804" s="57"/>
      <c r="R804" s="50"/>
      <c r="S804" s="50"/>
      <c r="T804" s="166" t="s">
        <v>129</v>
      </c>
      <c r="U804" s="97">
        <v>52</v>
      </c>
      <c r="V804" s="34"/>
      <c r="W804" s="2"/>
    </row>
    <row r="805" spans="4:23" x14ac:dyDescent="0.15">
      <c r="D805" s="82"/>
      <c r="E805" s="129"/>
      <c r="F805" s="69"/>
      <c r="G805" s="69"/>
      <c r="H805" s="69"/>
      <c r="I805" s="69"/>
      <c r="J805" s="57"/>
      <c r="K805" s="57"/>
      <c r="L805" s="57"/>
      <c r="M805" s="57"/>
      <c r="N805" s="57"/>
      <c r="O805" s="57"/>
      <c r="P805" s="57"/>
      <c r="Q805" s="57"/>
      <c r="R805" s="50"/>
      <c r="S805" s="50"/>
      <c r="T805" s="166" t="s">
        <v>128</v>
      </c>
      <c r="U805" s="97">
        <v>35</v>
      </c>
      <c r="V805" s="34"/>
      <c r="W805" s="2"/>
    </row>
    <row r="806" spans="4:23" x14ac:dyDescent="0.15">
      <c r="D806" s="82"/>
      <c r="E806" s="129"/>
      <c r="F806" s="69"/>
      <c r="G806" s="69"/>
      <c r="H806" s="69"/>
      <c r="I806" s="69"/>
      <c r="J806" s="57"/>
      <c r="K806" s="57"/>
      <c r="L806" s="57"/>
      <c r="M806" s="57"/>
      <c r="N806" s="57"/>
      <c r="O806" s="57"/>
      <c r="P806" s="57"/>
      <c r="Q806" s="57"/>
      <c r="R806" s="50"/>
      <c r="S806" s="50"/>
      <c r="T806" s="166" t="s">
        <v>58</v>
      </c>
      <c r="U806" s="97">
        <v>25</v>
      </c>
      <c r="V806" s="34"/>
      <c r="W806" s="2"/>
    </row>
    <row r="807" spans="4:23" x14ac:dyDescent="0.15">
      <c r="D807" s="82"/>
      <c r="E807" s="129"/>
      <c r="F807" s="69"/>
      <c r="G807" s="69"/>
      <c r="H807" s="69"/>
      <c r="I807" s="69"/>
      <c r="J807" s="57"/>
      <c r="K807" s="57"/>
      <c r="L807" s="57"/>
      <c r="M807" s="57"/>
      <c r="N807" s="57"/>
      <c r="O807" s="57"/>
      <c r="P807" s="57"/>
      <c r="Q807" s="57"/>
      <c r="R807" s="50"/>
      <c r="S807" s="50"/>
      <c r="T807" s="166" t="s">
        <v>115</v>
      </c>
      <c r="U807" s="97">
        <v>16</v>
      </c>
      <c r="V807" s="34"/>
      <c r="W807" s="2"/>
    </row>
    <row r="808" spans="4:23" x14ac:dyDescent="0.15">
      <c r="D808" s="82"/>
      <c r="E808" s="129"/>
      <c r="F808" s="69"/>
      <c r="G808" s="69"/>
      <c r="H808" s="69"/>
      <c r="I808" s="69"/>
      <c r="J808" s="57"/>
      <c r="K808" s="57"/>
      <c r="L808" s="57"/>
      <c r="M808" s="57"/>
      <c r="N808" s="57"/>
      <c r="O808" s="57"/>
      <c r="P808" s="57"/>
      <c r="Q808" s="57"/>
      <c r="R808" s="50"/>
      <c r="S808" s="50"/>
      <c r="T808" s="166" t="s">
        <v>88</v>
      </c>
      <c r="U808" s="97">
        <v>11</v>
      </c>
      <c r="V808" s="34"/>
      <c r="W808" s="2"/>
    </row>
    <row r="809" spans="4:23" x14ac:dyDescent="0.15">
      <c r="D809" s="82"/>
      <c r="E809" s="129"/>
      <c r="F809" s="69"/>
      <c r="G809" s="69"/>
      <c r="H809" s="69"/>
      <c r="I809" s="69"/>
      <c r="J809" s="57"/>
      <c r="K809" s="57"/>
      <c r="L809" s="57"/>
      <c r="M809" s="57"/>
      <c r="N809" s="57"/>
      <c r="O809" s="57"/>
      <c r="P809" s="57"/>
      <c r="Q809" s="57"/>
      <c r="R809" s="50"/>
      <c r="S809" s="50"/>
      <c r="T809" s="166"/>
      <c r="U809" s="97"/>
      <c r="V809" s="34"/>
      <c r="W809" s="2"/>
    </row>
    <row r="810" spans="4:23" x14ac:dyDescent="0.15">
      <c r="D810" s="82"/>
      <c r="E810" s="129"/>
      <c r="F810" s="69"/>
      <c r="G810" s="69"/>
      <c r="H810" s="69"/>
      <c r="I810" s="69"/>
      <c r="J810" s="57"/>
      <c r="K810" s="57"/>
      <c r="L810" s="57"/>
      <c r="M810" s="57"/>
      <c r="N810" s="57"/>
      <c r="O810" s="57"/>
      <c r="P810" s="57"/>
      <c r="Q810" s="57"/>
      <c r="R810" s="50"/>
      <c r="S810" s="50"/>
      <c r="T810" s="166"/>
      <c r="U810" s="97"/>
      <c r="V810" s="34"/>
      <c r="W810" s="2"/>
    </row>
    <row r="811" spans="4:23" x14ac:dyDescent="0.15">
      <c r="D811" s="82"/>
      <c r="E811" s="129"/>
      <c r="F811" s="69"/>
      <c r="G811" s="69"/>
      <c r="H811" s="69"/>
      <c r="I811" s="69"/>
      <c r="J811" s="57"/>
      <c r="K811" s="57"/>
      <c r="L811" s="57"/>
      <c r="M811" s="57"/>
      <c r="N811" s="57"/>
      <c r="O811" s="57"/>
      <c r="P811" s="57"/>
      <c r="Q811" s="57"/>
      <c r="R811" s="50"/>
      <c r="S811" s="50"/>
      <c r="T811" s="34"/>
      <c r="U811" s="35"/>
      <c r="V811" s="34"/>
      <c r="W811" s="2"/>
    </row>
    <row r="812" spans="4:23" x14ac:dyDescent="0.15">
      <c r="D812" s="82"/>
      <c r="E812" s="129"/>
      <c r="F812" s="69"/>
      <c r="G812" s="69"/>
      <c r="H812" s="69"/>
      <c r="I812" s="69"/>
      <c r="J812" s="57"/>
      <c r="K812" s="57"/>
      <c r="L812" s="57"/>
      <c r="M812" s="57"/>
      <c r="N812" s="57"/>
      <c r="O812" s="57"/>
      <c r="P812" s="57"/>
      <c r="Q812" s="57"/>
      <c r="R812" s="50"/>
      <c r="S812" s="50"/>
      <c r="T812" s="34"/>
      <c r="U812" s="35"/>
      <c r="V812" s="34"/>
      <c r="W812" s="2"/>
    </row>
    <row r="813" spans="4:23" x14ac:dyDescent="0.15">
      <c r="D813" s="82"/>
      <c r="E813" s="129"/>
      <c r="F813" s="69"/>
      <c r="G813" s="69"/>
      <c r="H813" s="69"/>
      <c r="I813" s="69"/>
      <c r="J813" s="57"/>
      <c r="K813" s="57"/>
      <c r="L813" s="57"/>
      <c r="M813" s="57"/>
      <c r="N813" s="57"/>
      <c r="O813" s="57"/>
      <c r="P813" s="57"/>
      <c r="Q813" s="57"/>
      <c r="R813" s="50"/>
      <c r="S813" s="50"/>
      <c r="T813" s="34"/>
      <c r="U813" s="35"/>
      <c r="V813" s="34"/>
      <c r="W813" s="2"/>
    </row>
    <row r="814" spans="4:23" x14ac:dyDescent="0.15">
      <c r="D814" s="82"/>
      <c r="E814" s="129"/>
      <c r="F814" s="69"/>
      <c r="G814" s="69"/>
      <c r="H814" s="69"/>
      <c r="I814" s="69"/>
      <c r="J814" s="57"/>
      <c r="K814" s="57"/>
      <c r="L814" s="57"/>
      <c r="M814" s="57"/>
      <c r="N814" s="57"/>
      <c r="O814" s="57"/>
      <c r="P814" s="57"/>
      <c r="Q814" s="57"/>
      <c r="R814" s="50"/>
      <c r="S814" s="50"/>
      <c r="T814" s="34"/>
      <c r="U814" s="35"/>
      <c r="V814" s="34"/>
      <c r="W814" s="2"/>
    </row>
    <row r="815" spans="4:23" x14ac:dyDescent="0.15">
      <c r="D815" s="82"/>
      <c r="E815" s="129"/>
      <c r="F815" s="69"/>
      <c r="G815" s="69"/>
      <c r="H815" s="69"/>
      <c r="I815" s="69"/>
      <c r="J815" s="57"/>
      <c r="K815" s="57"/>
      <c r="L815" s="57"/>
      <c r="M815" s="57"/>
      <c r="N815" s="57"/>
      <c r="O815" s="57"/>
      <c r="P815" s="57"/>
      <c r="Q815" s="57"/>
      <c r="R815" s="50"/>
      <c r="S815" s="50"/>
      <c r="T815" s="34"/>
      <c r="U815" s="35"/>
      <c r="V815" s="34"/>
      <c r="W815" s="2"/>
    </row>
    <row r="816" spans="4:23" x14ac:dyDescent="0.15">
      <c r="D816" s="82"/>
      <c r="E816" s="129"/>
      <c r="F816" s="69"/>
      <c r="G816" s="69"/>
      <c r="H816" s="69"/>
      <c r="I816" s="69"/>
      <c r="J816" s="57"/>
      <c r="K816" s="57"/>
      <c r="L816" s="57"/>
      <c r="M816" s="57"/>
      <c r="N816" s="57"/>
      <c r="O816" s="57"/>
      <c r="P816" s="57"/>
      <c r="Q816" s="57"/>
      <c r="R816" s="50"/>
      <c r="S816" s="50"/>
      <c r="T816" s="34"/>
      <c r="U816" s="35"/>
      <c r="V816" s="34"/>
      <c r="W816" s="2"/>
    </row>
    <row r="817" spans="2:40" x14ac:dyDescent="0.15">
      <c r="D817" s="82"/>
      <c r="E817" s="129"/>
      <c r="F817" s="69"/>
      <c r="G817" s="69"/>
      <c r="H817" s="69"/>
      <c r="I817" s="69"/>
      <c r="J817" s="57"/>
      <c r="K817" s="57"/>
      <c r="L817" s="57"/>
      <c r="M817" s="57"/>
      <c r="N817" s="57"/>
      <c r="O817" s="57"/>
      <c r="P817" s="57"/>
      <c r="Q817" s="57"/>
      <c r="R817" s="50"/>
      <c r="S817" s="50"/>
      <c r="T817" s="34"/>
      <c r="U817" s="35"/>
      <c r="V817" s="34"/>
      <c r="W817" s="2"/>
    </row>
    <row r="818" spans="2:40" x14ac:dyDescent="0.15">
      <c r="D818" s="82"/>
      <c r="E818" s="129"/>
      <c r="F818" s="69"/>
      <c r="G818" s="69"/>
      <c r="H818" s="69"/>
      <c r="I818" s="69"/>
      <c r="J818" s="57"/>
      <c r="K818" s="57"/>
      <c r="L818" s="57"/>
      <c r="M818" s="57"/>
      <c r="N818" s="57"/>
      <c r="O818" s="57"/>
      <c r="P818" s="57"/>
      <c r="Q818" s="57"/>
      <c r="R818" s="50"/>
      <c r="S818" s="50"/>
      <c r="T818" s="34"/>
      <c r="U818" s="35"/>
      <c r="V818" s="34"/>
      <c r="W818" s="2"/>
    </row>
    <row r="819" spans="2:40" x14ac:dyDescent="0.15">
      <c r="D819" s="82"/>
      <c r="E819" s="129"/>
      <c r="F819" s="69"/>
      <c r="G819" s="69"/>
      <c r="H819" s="69"/>
      <c r="I819" s="69"/>
      <c r="J819" s="57"/>
      <c r="K819" s="57"/>
      <c r="L819" s="57"/>
      <c r="M819" s="57"/>
      <c r="N819" s="57"/>
      <c r="O819" s="57"/>
      <c r="P819" s="57"/>
      <c r="Q819" s="57"/>
      <c r="R819" s="50"/>
      <c r="S819" s="50"/>
      <c r="T819" s="34"/>
      <c r="U819" s="35"/>
      <c r="V819" s="34"/>
      <c r="W819" s="2"/>
    </row>
    <row r="820" spans="2:40" x14ac:dyDescent="0.15">
      <c r="C820" s="2" t="s">
        <v>166</v>
      </c>
      <c r="D820" s="82"/>
      <c r="E820" s="129"/>
      <c r="F820" s="69"/>
      <c r="G820" s="69"/>
      <c r="H820" s="69"/>
      <c r="I820" s="69"/>
      <c r="J820" s="57"/>
      <c r="K820" s="57"/>
      <c r="L820" s="57"/>
      <c r="M820" s="57"/>
      <c r="N820" s="57"/>
      <c r="O820" s="57"/>
      <c r="P820" s="57"/>
      <c r="Q820" s="57"/>
      <c r="R820" s="50"/>
      <c r="S820" s="50"/>
      <c r="T820" s="34"/>
      <c r="U820" s="35"/>
      <c r="V820" s="34"/>
      <c r="W820" s="2"/>
    </row>
    <row r="821" spans="2:40" s="2" customFormat="1" x14ac:dyDescent="0.15">
      <c r="D821" s="36" t="s">
        <v>167</v>
      </c>
      <c r="E821" s="129"/>
      <c r="F821" s="69"/>
      <c r="G821" s="69"/>
      <c r="H821" s="69"/>
      <c r="I821" s="69"/>
      <c r="J821" s="57"/>
      <c r="K821" s="57"/>
      <c r="L821" s="57"/>
      <c r="M821" s="57"/>
      <c r="N821" s="57"/>
      <c r="O821" s="57"/>
      <c r="P821" s="57"/>
      <c r="Q821" s="57"/>
      <c r="R821" s="50"/>
      <c r="S821" s="50"/>
      <c r="T821" s="34"/>
      <c r="U821" s="35"/>
      <c r="V821" s="34"/>
      <c r="AN821" s="107"/>
    </row>
    <row r="822" spans="2:40" s="2" customFormat="1" x14ac:dyDescent="0.15">
      <c r="D822" s="36" t="s">
        <v>269</v>
      </c>
      <c r="E822" s="129"/>
      <c r="F822" s="69"/>
      <c r="G822" s="69"/>
      <c r="H822" s="69"/>
      <c r="I822" s="69"/>
      <c r="J822" s="57"/>
      <c r="K822" s="57"/>
      <c r="L822" s="57"/>
      <c r="M822" s="57"/>
      <c r="N822" s="57"/>
      <c r="O822" s="57"/>
      <c r="P822" s="57"/>
      <c r="Q822" s="57"/>
      <c r="R822" s="50"/>
      <c r="S822" s="50"/>
      <c r="T822" s="34"/>
      <c r="U822" s="35"/>
      <c r="V822" s="34"/>
      <c r="AN822" s="107"/>
    </row>
    <row r="823" spans="2:40" s="2" customFormat="1" x14ac:dyDescent="0.15">
      <c r="D823" s="36" t="s">
        <v>168</v>
      </c>
      <c r="E823" s="129"/>
      <c r="F823" s="69"/>
      <c r="G823" s="69"/>
      <c r="H823" s="69"/>
      <c r="I823" s="69"/>
      <c r="J823" s="57"/>
      <c r="K823" s="57"/>
      <c r="L823" s="57"/>
      <c r="M823" s="57"/>
      <c r="N823" s="57"/>
      <c r="O823" s="57"/>
      <c r="P823" s="57"/>
      <c r="Q823" s="57"/>
      <c r="R823" s="50"/>
      <c r="S823" s="50"/>
      <c r="T823" s="34"/>
      <c r="U823" s="35"/>
      <c r="V823" s="34"/>
      <c r="AN823" s="107"/>
    </row>
    <row r="824" spans="2:40" s="2" customFormat="1" x14ac:dyDescent="0.15">
      <c r="D824" s="36" t="s">
        <v>270</v>
      </c>
      <c r="E824" s="129"/>
      <c r="F824" s="69"/>
      <c r="G824" s="69"/>
      <c r="H824" s="69"/>
      <c r="I824" s="69"/>
      <c r="J824" s="57"/>
      <c r="K824" s="57"/>
      <c r="L824" s="57"/>
      <c r="M824" s="57"/>
      <c r="N824" s="57"/>
      <c r="O824" s="57"/>
      <c r="P824" s="57"/>
      <c r="Q824" s="57"/>
      <c r="R824" s="50"/>
      <c r="S824" s="50"/>
      <c r="U824" s="35"/>
      <c r="V824" s="34"/>
      <c r="AN824" s="107"/>
    </row>
    <row r="825" spans="2:40" s="2" customFormat="1" x14ac:dyDescent="0.15">
      <c r="D825" s="36" t="s">
        <v>279</v>
      </c>
      <c r="E825" s="129"/>
      <c r="F825" s="69"/>
      <c r="G825" s="69"/>
      <c r="H825" s="69"/>
      <c r="I825" s="69"/>
      <c r="J825" s="57"/>
      <c r="K825" s="57"/>
      <c r="L825" s="57"/>
      <c r="M825" s="57"/>
      <c r="N825" s="57"/>
      <c r="O825" s="57"/>
      <c r="P825" s="57"/>
      <c r="Q825" s="57"/>
      <c r="R825" s="50"/>
      <c r="S825" s="50"/>
      <c r="U825" s="35"/>
      <c r="V825" s="34"/>
      <c r="AN825" s="107"/>
    </row>
    <row r="826" spans="2:40" x14ac:dyDescent="0.15">
      <c r="D826" s="82"/>
      <c r="E826" s="129"/>
      <c r="F826" s="69"/>
      <c r="G826" s="69"/>
      <c r="H826" s="69"/>
      <c r="I826" s="69"/>
      <c r="J826" s="57"/>
      <c r="K826" s="57"/>
      <c r="L826" s="57"/>
      <c r="M826" s="57"/>
      <c r="N826" s="57"/>
      <c r="O826" s="57"/>
      <c r="P826" s="57"/>
      <c r="Q826" s="57"/>
      <c r="R826" s="50"/>
      <c r="S826" s="50"/>
      <c r="U826" s="35"/>
      <c r="V826" s="34"/>
      <c r="W826" s="2"/>
    </row>
    <row r="827" spans="2:40" x14ac:dyDescent="0.15">
      <c r="D827" s="82"/>
      <c r="E827" s="129"/>
      <c r="F827" s="69"/>
      <c r="G827" s="69"/>
      <c r="H827" s="69"/>
      <c r="I827" s="69"/>
      <c r="J827" s="57"/>
      <c r="K827" s="57"/>
      <c r="L827" s="57"/>
      <c r="M827" s="57"/>
      <c r="N827" s="57"/>
      <c r="O827" s="57"/>
      <c r="P827" s="57"/>
      <c r="Q827" s="57"/>
      <c r="R827" s="50"/>
      <c r="S827" s="50"/>
      <c r="U827" s="35"/>
      <c r="V827" s="34"/>
      <c r="W827" s="2"/>
    </row>
    <row r="828" spans="2:40" x14ac:dyDescent="0.15">
      <c r="D828" s="82"/>
      <c r="E828" s="129"/>
      <c r="F828" s="69"/>
      <c r="G828" s="69"/>
      <c r="H828" s="69"/>
      <c r="I828" s="69"/>
      <c r="J828" s="57"/>
      <c r="K828" s="57"/>
      <c r="L828" s="57"/>
      <c r="M828" s="57"/>
      <c r="N828" s="57"/>
      <c r="O828" s="57"/>
      <c r="P828" s="57"/>
      <c r="Q828" s="57"/>
      <c r="R828" s="50"/>
      <c r="S828" s="50"/>
      <c r="U828" s="35"/>
      <c r="V828" s="34"/>
      <c r="W828" s="2"/>
    </row>
    <row r="829" spans="2:40" ht="14.25" thickBot="1" x14ac:dyDescent="0.2">
      <c r="B829" s="3" t="s">
        <v>130</v>
      </c>
      <c r="G829" s="10"/>
      <c r="K829" s="5"/>
      <c r="O829" s="5"/>
      <c r="T829" s="151"/>
      <c r="U829" s="35"/>
    </row>
    <row r="830" spans="2:40" x14ac:dyDescent="0.15">
      <c r="D830" s="70"/>
      <c r="E830" s="71"/>
      <c r="F830" s="71"/>
      <c r="G830" s="86"/>
      <c r="H830" s="184" t="s">
        <v>266</v>
      </c>
      <c r="I830" s="185"/>
      <c r="J830" s="185"/>
      <c r="K830" s="186"/>
      <c r="L830" s="214" t="s">
        <v>60</v>
      </c>
      <c r="M830" s="215"/>
      <c r="N830" s="215"/>
      <c r="O830" s="216"/>
      <c r="P830" s="197" t="s">
        <v>9</v>
      </c>
      <c r="Q830" s="204"/>
      <c r="R830" s="204"/>
      <c r="S830" s="205"/>
      <c r="T830" s="36"/>
      <c r="U830" s="35"/>
      <c r="AL830" s="7"/>
      <c r="AN830" s="1"/>
    </row>
    <row r="831" spans="2:40" x14ac:dyDescent="0.15">
      <c r="D831" s="72"/>
      <c r="E831" s="126"/>
      <c r="F831" s="126"/>
      <c r="G831" s="125"/>
      <c r="H831" s="124"/>
      <c r="I831" s="128" t="s">
        <v>11</v>
      </c>
      <c r="J831" s="128" t="s">
        <v>12</v>
      </c>
      <c r="K831" s="39" t="s">
        <v>13</v>
      </c>
      <c r="L831" s="124"/>
      <c r="M831" s="128" t="s">
        <v>11</v>
      </c>
      <c r="N831" s="122" t="s">
        <v>12</v>
      </c>
      <c r="O831" s="39" t="s">
        <v>13</v>
      </c>
      <c r="P831" s="15"/>
      <c r="Q831" s="122" t="s">
        <v>11</v>
      </c>
      <c r="R831" s="122" t="s">
        <v>12</v>
      </c>
      <c r="S831" s="122" t="s">
        <v>13</v>
      </c>
      <c r="T831" s="121"/>
      <c r="U831" s="35"/>
      <c r="AL831" s="7"/>
      <c r="AN831" s="1"/>
    </row>
    <row r="832" spans="2:40" ht="13.5" customHeight="1" x14ac:dyDescent="0.15">
      <c r="D832" s="257" t="s">
        <v>131</v>
      </c>
      <c r="E832" s="258"/>
      <c r="F832" s="258"/>
      <c r="G832" s="265"/>
      <c r="H832" s="22">
        <f>I832+J832+K832</f>
        <v>227</v>
      </c>
      <c r="I832" s="23">
        <v>15</v>
      </c>
      <c r="J832" s="23">
        <v>65</v>
      </c>
      <c r="K832" s="24">
        <v>147</v>
      </c>
      <c r="L832" s="22">
        <f>M832+N832+O832</f>
        <v>236</v>
      </c>
      <c r="M832" s="23">
        <v>11</v>
      </c>
      <c r="N832" s="23">
        <v>75</v>
      </c>
      <c r="O832" s="24">
        <v>150</v>
      </c>
      <c r="P832" s="25">
        <f>Q832+R832+S832</f>
        <v>254</v>
      </c>
      <c r="Q832" s="23">
        <v>18</v>
      </c>
      <c r="R832" s="23">
        <v>82</v>
      </c>
      <c r="S832" s="23">
        <v>154</v>
      </c>
      <c r="T832" s="99"/>
      <c r="U832" s="35"/>
      <c r="AL832" s="7"/>
      <c r="AN832" s="1"/>
    </row>
    <row r="833" spans="4:40" x14ac:dyDescent="0.15">
      <c r="D833" s="259"/>
      <c r="E833" s="260"/>
      <c r="F833" s="260"/>
      <c r="G833" s="266"/>
      <c r="H833" s="40">
        <f>ROUND(H832/(H$832+H$834+H$836+H$838+H$840+H$842+H$844+H$846),3)</f>
        <v>0.27900000000000003</v>
      </c>
      <c r="I833" s="41">
        <f t="shared" ref="I833:K833" si="827">ROUND(I832/(I$832+I$834+I$836+I$838+I$840+I$842+I$844+I$846),3)</f>
        <v>0.185</v>
      </c>
      <c r="J833" s="41">
        <f t="shared" si="827"/>
        <v>0.307</v>
      </c>
      <c r="K833" s="42">
        <f t="shared" si="827"/>
        <v>0.28299999999999997</v>
      </c>
      <c r="L833" s="40">
        <f>ROUND(L832/(L$832+L$834+L$836+L$838+L$840+L$842+L$844+L$846),3)</f>
        <v>0.27400000000000002</v>
      </c>
      <c r="M833" s="41">
        <f t="shared" ref="M833:O833" si="828">ROUND(M832/(M$832+M$834+M$836+M$838+M$840+M$842+M$844+M$846),3)</f>
        <v>0.12</v>
      </c>
      <c r="N833" s="41">
        <f t="shared" si="828"/>
        <v>0.31</v>
      </c>
      <c r="O833" s="42">
        <f t="shared" si="828"/>
        <v>0.28399999999999997</v>
      </c>
      <c r="P833" s="43">
        <f>ROUND(P832/(P$832+P$834+P$836+P$838+P$842+P$844+P$848),3)-0.001</f>
        <v>0.32200000000000001</v>
      </c>
      <c r="Q833" s="43">
        <f t="shared" ref="Q833:S833" si="829">ROUND(Q832/(Q$832+Q$834+Q$836+Q$838+Q$842+Q$844+Q$848),3)</f>
        <v>0.27300000000000002</v>
      </c>
      <c r="R833" s="43">
        <f t="shared" si="829"/>
        <v>0.32</v>
      </c>
      <c r="S833" s="43">
        <f t="shared" si="829"/>
        <v>0.33100000000000002</v>
      </c>
      <c r="T833" s="57"/>
      <c r="AL833" s="7"/>
      <c r="AN833" s="1"/>
    </row>
    <row r="834" spans="4:40" ht="13.5" customHeight="1" x14ac:dyDescent="0.15">
      <c r="D834" s="267" t="s">
        <v>132</v>
      </c>
      <c r="E834" s="268"/>
      <c r="F834" s="268"/>
      <c r="G834" s="269"/>
      <c r="H834" s="22">
        <f>I834+J834+K834</f>
        <v>143</v>
      </c>
      <c r="I834" s="23">
        <v>24</v>
      </c>
      <c r="J834" s="23">
        <v>30</v>
      </c>
      <c r="K834" s="24">
        <v>89</v>
      </c>
      <c r="L834" s="22">
        <f>M834+N834+O834</f>
        <v>155</v>
      </c>
      <c r="M834" s="23">
        <v>28</v>
      </c>
      <c r="N834" s="23">
        <v>26</v>
      </c>
      <c r="O834" s="24">
        <v>101</v>
      </c>
      <c r="P834" s="25">
        <f>Q834+R834+S834</f>
        <v>144</v>
      </c>
      <c r="Q834" s="23">
        <v>21</v>
      </c>
      <c r="R834" s="23">
        <v>47</v>
      </c>
      <c r="S834" s="23">
        <v>76</v>
      </c>
      <c r="T834" s="99"/>
      <c r="AL834" s="7"/>
      <c r="AN834" s="1"/>
    </row>
    <row r="835" spans="4:40" x14ac:dyDescent="0.15">
      <c r="D835" s="270"/>
      <c r="E835" s="271"/>
      <c r="F835" s="271"/>
      <c r="G835" s="272"/>
      <c r="H835" s="40">
        <f>ROUND(H834/(H$832+H$834+H$836+H$838+H$840+H$842+H$844+H$846),3)</f>
        <v>0.17599999999999999</v>
      </c>
      <c r="I835" s="41">
        <f t="shared" ref="I835" si="830">ROUND(I834/(I$832+I$834+I$836+I$838+I$840+I$842+I$844+I$846),3)</f>
        <v>0.29599999999999999</v>
      </c>
      <c r="J835" s="41">
        <f t="shared" ref="J835" si="831">ROUND(J834/(J$832+J$834+J$836+J$838+J$840+J$842+J$844+J$846),3)</f>
        <v>0.14199999999999999</v>
      </c>
      <c r="K835" s="42">
        <f t="shared" ref="K835" si="832">ROUND(K834/(K$832+K$834+K$836+K$838+K$840+K$842+K$844+K$846),3)</f>
        <v>0.17100000000000001</v>
      </c>
      <c r="L835" s="40">
        <f>ROUND(L834/(L$832+L$834+L$836+L$838+L$840+L$842+L$844+L$846),3)</f>
        <v>0.18</v>
      </c>
      <c r="M835" s="41">
        <f t="shared" ref="M835:O835" si="833">ROUND(M834/(M$832+M$834+M$836+M$838+M$840+M$842+M$844+M$846),3)</f>
        <v>0.30399999999999999</v>
      </c>
      <c r="N835" s="41">
        <f t="shared" si="833"/>
        <v>0.107</v>
      </c>
      <c r="O835" s="42">
        <f t="shared" si="833"/>
        <v>0.191</v>
      </c>
      <c r="P835" s="43">
        <f>ROUND(P834/(P$832+P$834+P$836+P$838+P$842+P$844+P$848),3)</f>
        <v>0.183</v>
      </c>
      <c r="Q835" s="43">
        <f t="shared" ref="Q835" si="834">ROUND(Q834/(Q$832+Q$834+Q$836+Q$838+Q$842+Q$844+Q$848),3)</f>
        <v>0.318</v>
      </c>
      <c r="R835" s="43">
        <f>ROUND(R834/(R$832+R$834+R$836+R$838+R$842+R$844+R$848),3)-0.001</f>
        <v>0.183</v>
      </c>
      <c r="S835" s="43">
        <f t="shared" ref="S835" si="835">ROUND(S834/(S$832+S$834+S$836+S$838+S$842+S$844+S$848),3)</f>
        <v>0.16300000000000001</v>
      </c>
      <c r="T835" s="57"/>
      <c r="AL835" s="7"/>
      <c r="AN835" s="1"/>
    </row>
    <row r="836" spans="4:40" ht="13.5" customHeight="1" x14ac:dyDescent="0.15">
      <c r="D836" s="267" t="s">
        <v>64</v>
      </c>
      <c r="E836" s="258"/>
      <c r="F836" s="258"/>
      <c r="G836" s="265"/>
      <c r="H836" s="22">
        <f>I836+J836+K836</f>
        <v>146</v>
      </c>
      <c r="I836" s="23">
        <v>14</v>
      </c>
      <c r="J836" s="23">
        <v>24</v>
      </c>
      <c r="K836" s="24">
        <v>108</v>
      </c>
      <c r="L836" s="22">
        <f>M836+N836+O836</f>
        <v>130</v>
      </c>
      <c r="M836" s="23">
        <v>14</v>
      </c>
      <c r="N836" s="23">
        <v>27</v>
      </c>
      <c r="O836" s="24">
        <v>89</v>
      </c>
      <c r="P836" s="25">
        <f>Q836+R836+S836</f>
        <v>58</v>
      </c>
      <c r="Q836" s="23">
        <v>4</v>
      </c>
      <c r="R836" s="23">
        <v>14</v>
      </c>
      <c r="S836" s="23">
        <v>40</v>
      </c>
      <c r="T836" s="99"/>
      <c r="AL836" s="7"/>
      <c r="AN836" s="1"/>
    </row>
    <row r="837" spans="4:40" x14ac:dyDescent="0.15">
      <c r="D837" s="259"/>
      <c r="E837" s="260"/>
      <c r="F837" s="260"/>
      <c r="G837" s="266"/>
      <c r="H837" s="40">
        <f>ROUND(H836/(H$832+H$834+H$836+H$838+H$840+H$842+H$844+H$846),3)</f>
        <v>0.18</v>
      </c>
      <c r="I837" s="41">
        <f t="shared" ref="I837" si="836">ROUND(I836/(I$832+I$834+I$836+I$838+I$840+I$842+I$844+I$846),3)</f>
        <v>0.17299999999999999</v>
      </c>
      <c r="J837" s="41">
        <f>ROUND(J836/(J$832+J$834+J$836+J$838+J$840+J$842+J$844+J$846),3)</f>
        <v>0.113</v>
      </c>
      <c r="K837" s="42">
        <f t="shared" ref="K837" si="837">ROUND(K836/(K$832+K$834+K$836+K$838+K$840+K$842+K$844+K$846),3)</f>
        <v>0.20799999999999999</v>
      </c>
      <c r="L837" s="40">
        <f>ROUND(L836/(L$832+L$834+L$836+L$838+L$840+L$842+L$844+L$846),3)</f>
        <v>0.151</v>
      </c>
      <c r="M837" s="41">
        <f t="shared" ref="M837" si="838">ROUND(M836/(M$832+M$834+M$836+M$838+M$840+M$842+M$844+M$846),3)</f>
        <v>0.152</v>
      </c>
      <c r="N837" s="41">
        <f>ROUND(N836/(N$832+N$834+N$836+N$838+N$840+N$842+N$844+N$846),3)-0.001</f>
        <v>0.111</v>
      </c>
      <c r="O837" s="42">
        <f t="shared" ref="O837" si="839">ROUND(O836/(O$832+O$834+O$836+O$838+O$840+O$842+O$844+O$846),3)</f>
        <v>0.16900000000000001</v>
      </c>
      <c r="P837" s="43">
        <f>ROUND(P836/(P$832+P$834+P$836+P$838+P$842+P$844+P$848),3)</f>
        <v>7.3999999999999996E-2</v>
      </c>
      <c r="Q837" s="43">
        <f t="shared" ref="Q837:S837" si="840">ROUND(Q836/(Q$832+Q$834+Q$836+Q$838+Q$842+Q$844+Q$848),3)</f>
        <v>6.0999999999999999E-2</v>
      </c>
      <c r="R837" s="43">
        <f t="shared" si="840"/>
        <v>5.5E-2</v>
      </c>
      <c r="S837" s="43">
        <f t="shared" si="840"/>
        <v>8.5999999999999993E-2</v>
      </c>
      <c r="T837" s="57"/>
      <c r="AL837" s="7"/>
      <c r="AN837" s="1"/>
    </row>
    <row r="838" spans="4:40" ht="13.5" customHeight="1" x14ac:dyDescent="0.15">
      <c r="D838" s="257" t="s">
        <v>6</v>
      </c>
      <c r="E838" s="258"/>
      <c r="F838" s="258"/>
      <c r="G838" s="265"/>
      <c r="H838" s="22">
        <f>I838+J838+K838</f>
        <v>103</v>
      </c>
      <c r="I838" s="23">
        <v>10</v>
      </c>
      <c r="J838" s="23">
        <v>27</v>
      </c>
      <c r="K838" s="24">
        <v>66</v>
      </c>
      <c r="L838" s="22">
        <f>M838+N838+O838</f>
        <v>109</v>
      </c>
      <c r="M838" s="23">
        <v>10</v>
      </c>
      <c r="N838" s="23">
        <v>33</v>
      </c>
      <c r="O838" s="24">
        <v>66</v>
      </c>
      <c r="P838" s="25">
        <f>Q838+R838+S838</f>
        <v>66</v>
      </c>
      <c r="Q838" s="23">
        <v>3</v>
      </c>
      <c r="R838" s="23">
        <v>31</v>
      </c>
      <c r="S838" s="23">
        <v>32</v>
      </c>
      <c r="T838" s="99"/>
      <c r="AL838" s="7"/>
      <c r="AN838" s="1"/>
    </row>
    <row r="839" spans="4:40" x14ac:dyDescent="0.15">
      <c r="D839" s="259"/>
      <c r="E839" s="260"/>
      <c r="F839" s="260"/>
      <c r="G839" s="266"/>
      <c r="H839" s="40">
        <f>ROUND(H838/(H$832+H$834+H$836+H$838+H$840+H$842+H$844+H$846),3)</f>
        <v>0.127</v>
      </c>
      <c r="I839" s="41">
        <f t="shared" ref="I839" si="841">ROUND(I838/(I$832+I$834+I$836+I$838+I$840+I$842+I$844+I$846),3)</f>
        <v>0.123</v>
      </c>
      <c r="J839" s="41">
        <f t="shared" ref="J839" si="842">ROUND(J838/(J$832+J$834+J$836+J$838+J$840+J$842+J$844+J$846),3)</f>
        <v>0.127</v>
      </c>
      <c r="K839" s="42">
        <f t="shared" ref="K839" si="843">ROUND(K838/(K$832+K$834+K$836+K$838+K$840+K$842+K$844+K$846),3)</f>
        <v>0.127</v>
      </c>
      <c r="L839" s="40">
        <f>ROUND(L838/(L$832+L$834+L$836+L$838+L$840+L$842+L$844+L$846),3)</f>
        <v>0.126</v>
      </c>
      <c r="M839" s="41">
        <f t="shared" ref="M839:O839" si="844">ROUND(M838/(M$832+M$834+M$836+M$838+M$840+M$842+M$844+M$846),3)</f>
        <v>0.109</v>
      </c>
      <c r="N839" s="41">
        <f t="shared" si="844"/>
        <v>0.13600000000000001</v>
      </c>
      <c r="O839" s="42">
        <f t="shared" si="844"/>
        <v>0.125</v>
      </c>
      <c r="P839" s="43">
        <f>ROUND(P838/(P$832+P$834+P$836+P$838+P$842+P$844+P$848),3)</f>
        <v>8.4000000000000005E-2</v>
      </c>
      <c r="Q839" s="43">
        <f t="shared" ref="Q839:S839" si="845">ROUND(Q838/(Q$832+Q$834+Q$836+Q$838+Q$842+Q$844+Q$848),3)</f>
        <v>4.4999999999999998E-2</v>
      </c>
      <c r="R839" s="43">
        <f t="shared" si="845"/>
        <v>0.121</v>
      </c>
      <c r="S839" s="43">
        <f t="shared" si="845"/>
        <v>6.9000000000000006E-2</v>
      </c>
      <c r="T839" s="57"/>
      <c r="AL839" s="7"/>
      <c r="AN839" s="1"/>
    </row>
    <row r="840" spans="4:40" ht="13.5" customHeight="1" x14ac:dyDescent="0.15">
      <c r="D840" s="257" t="s">
        <v>115</v>
      </c>
      <c r="E840" s="258"/>
      <c r="F840" s="258"/>
      <c r="G840" s="265"/>
      <c r="H840" s="22">
        <f>I840+J840+K840</f>
        <v>79</v>
      </c>
      <c r="I840" s="23">
        <v>1</v>
      </c>
      <c r="J840" s="23">
        <v>38</v>
      </c>
      <c r="K840" s="24">
        <v>40</v>
      </c>
      <c r="L840" s="22">
        <f>M840+N840+O840</f>
        <v>95</v>
      </c>
      <c r="M840" s="23">
        <v>6</v>
      </c>
      <c r="N840" s="23">
        <v>50</v>
      </c>
      <c r="O840" s="24">
        <v>39</v>
      </c>
      <c r="P840" s="199" t="s">
        <v>7</v>
      </c>
      <c r="Q840" s="201" t="s">
        <v>7</v>
      </c>
      <c r="R840" s="201" t="s">
        <v>7</v>
      </c>
      <c r="S840" s="201" t="s">
        <v>7</v>
      </c>
      <c r="T840" s="206"/>
      <c r="AL840" s="7"/>
      <c r="AN840" s="1"/>
    </row>
    <row r="841" spans="4:40" x14ac:dyDescent="0.15">
      <c r="D841" s="259"/>
      <c r="E841" s="260"/>
      <c r="F841" s="260"/>
      <c r="G841" s="266"/>
      <c r="H841" s="40">
        <f>ROUND(H840/(H$832+H$834+H$836+H$838+H$840+H$842+H$844+H$846),3)</f>
        <v>9.7000000000000003E-2</v>
      </c>
      <c r="I841" s="41">
        <f t="shared" ref="I841" si="846">ROUND(I840/(I$832+I$834+I$836+I$838+I$840+I$842+I$844+I$846),3)</f>
        <v>1.2E-2</v>
      </c>
      <c r="J841" s="41">
        <f t="shared" ref="J841" si="847">ROUND(J840/(J$832+J$834+J$836+J$838+J$840+J$842+J$844+J$846),3)</f>
        <v>0.17899999999999999</v>
      </c>
      <c r="K841" s="42">
        <f t="shared" ref="K841" si="848">ROUND(K840/(K$832+K$834+K$836+K$838+K$840+K$842+K$844+K$846),3)</f>
        <v>7.6999999999999999E-2</v>
      </c>
      <c r="L841" s="40">
        <f>ROUND(L840/(L$832+L$834+L$836+L$838+L$840+L$842+L$844+L$846),3)</f>
        <v>0.11</v>
      </c>
      <c r="M841" s="41">
        <f t="shared" ref="M841:O841" si="849">ROUND(M840/(M$832+M$834+M$836+M$838+M$840+M$842+M$844+M$846),3)</f>
        <v>6.5000000000000002E-2</v>
      </c>
      <c r="N841" s="41">
        <f t="shared" si="849"/>
        <v>0.20699999999999999</v>
      </c>
      <c r="O841" s="42">
        <f t="shared" si="849"/>
        <v>7.3999999999999996E-2</v>
      </c>
      <c r="P841" s="200"/>
      <c r="Q841" s="202"/>
      <c r="R841" s="202"/>
      <c r="S841" s="202"/>
      <c r="T841" s="206"/>
      <c r="AL841" s="7"/>
      <c r="AN841" s="1"/>
    </row>
    <row r="842" spans="4:40" ht="13.5" customHeight="1" x14ac:dyDescent="0.15">
      <c r="D842" s="267" t="s">
        <v>133</v>
      </c>
      <c r="E842" s="268"/>
      <c r="F842" s="268"/>
      <c r="G842" s="269"/>
      <c r="H842" s="22">
        <f>I842+J842+K842</f>
        <v>60</v>
      </c>
      <c r="I842" s="23">
        <v>7</v>
      </c>
      <c r="J842" s="23">
        <v>15</v>
      </c>
      <c r="K842" s="24">
        <v>38</v>
      </c>
      <c r="L842" s="22">
        <f>M842+N842+O842</f>
        <v>68</v>
      </c>
      <c r="M842" s="23">
        <v>8</v>
      </c>
      <c r="N842" s="23">
        <v>12</v>
      </c>
      <c r="O842" s="24">
        <v>48</v>
      </c>
      <c r="P842" s="25">
        <f>Q842+R842+S842</f>
        <v>50</v>
      </c>
      <c r="Q842" s="23">
        <v>3</v>
      </c>
      <c r="R842" s="23">
        <v>14</v>
      </c>
      <c r="S842" s="23">
        <v>33</v>
      </c>
      <c r="T842" s="99"/>
      <c r="AL842" s="7"/>
      <c r="AN842" s="1"/>
    </row>
    <row r="843" spans="4:40" x14ac:dyDescent="0.15">
      <c r="D843" s="270"/>
      <c r="E843" s="271"/>
      <c r="F843" s="271"/>
      <c r="G843" s="272"/>
      <c r="H843" s="40">
        <f>ROUND(H842/(H$832+H$834+H$836+H$838+H$840+H$842+H$844+H$846),3)</f>
        <v>7.3999999999999996E-2</v>
      </c>
      <c r="I843" s="41">
        <f t="shared" ref="I843" si="850">ROUND(I842/(I$832+I$834+I$836+I$838+I$840+I$842+I$844+I$846),3)</f>
        <v>8.5999999999999993E-2</v>
      </c>
      <c r="J843" s="41">
        <f t="shared" ref="J843" si="851">ROUND(J842/(J$832+J$834+J$836+J$838+J$840+J$842+J$844+J$846),3)</f>
        <v>7.0999999999999994E-2</v>
      </c>
      <c r="K843" s="42">
        <f t="shared" ref="K843" si="852">ROUND(K842/(K$832+K$834+K$836+K$838+K$840+K$842+K$844+K$846),3)</f>
        <v>7.2999999999999995E-2</v>
      </c>
      <c r="L843" s="40">
        <f>ROUND(L842/(L$832+L$834+L$836+L$838+L$840+L$842+L$844+L$846),3)</f>
        <v>7.9000000000000001E-2</v>
      </c>
      <c r="M843" s="41">
        <f t="shared" ref="M843:O843" si="853">ROUND(M842/(M$832+M$834+M$836+M$838+M$840+M$842+M$844+M$846),3)</f>
        <v>8.6999999999999994E-2</v>
      </c>
      <c r="N843" s="41">
        <f t="shared" si="853"/>
        <v>0.05</v>
      </c>
      <c r="O843" s="42">
        <f t="shared" si="853"/>
        <v>9.0999999999999998E-2</v>
      </c>
      <c r="P843" s="43">
        <f>ROUND(P842/(P$832+P$834+P$836+P$838+P$842+P$844+P$848),3)</f>
        <v>6.4000000000000001E-2</v>
      </c>
      <c r="Q843" s="43">
        <f t="shared" ref="Q843:S843" si="854">ROUND(Q842/(Q$832+Q$834+Q$836+Q$838+Q$842+Q$844+Q$848),3)</f>
        <v>4.4999999999999998E-2</v>
      </c>
      <c r="R843" s="43">
        <f t="shared" si="854"/>
        <v>5.5E-2</v>
      </c>
      <c r="S843" s="43">
        <f t="shared" si="854"/>
        <v>7.0999999999999994E-2</v>
      </c>
      <c r="T843" s="57"/>
      <c r="AL843" s="7"/>
      <c r="AN843" s="1"/>
    </row>
    <row r="844" spans="4:40" ht="13.5" customHeight="1" x14ac:dyDescent="0.15">
      <c r="D844" s="267" t="s">
        <v>65</v>
      </c>
      <c r="E844" s="268"/>
      <c r="F844" s="268"/>
      <c r="G844" s="269"/>
      <c r="H844" s="22">
        <f>I844+J844+K844</f>
        <v>37</v>
      </c>
      <c r="I844" s="23">
        <v>6</v>
      </c>
      <c r="J844" s="23">
        <v>9</v>
      </c>
      <c r="K844" s="24">
        <v>22</v>
      </c>
      <c r="L844" s="22">
        <f>M844+N844+O844</f>
        <v>52</v>
      </c>
      <c r="M844" s="23">
        <v>14</v>
      </c>
      <c r="N844" s="23">
        <v>13</v>
      </c>
      <c r="O844" s="24">
        <v>25</v>
      </c>
      <c r="P844" s="25">
        <f>Q844+R844+S844</f>
        <v>20</v>
      </c>
      <c r="Q844" s="23">
        <v>2</v>
      </c>
      <c r="R844" s="23">
        <v>4</v>
      </c>
      <c r="S844" s="23">
        <v>14</v>
      </c>
      <c r="T844" s="99"/>
      <c r="AL844" s="7"/>
      <c r="AN844" s="1"/>
    </row>
    <row r="845" spans="4:40" x14ac:dyDescent="0.15">
      <c r="D845" s="270"/>
      <c r="E845" s="271"/>
      <c r="F845" s="271"/>
      <c r="G845" s="272"/>
      <c r="H845" s="40">
        <f>ROUND(H844/(H$832+H$834+H$836+H$838+H$840+H$842+H$844+H$846),3)</f>
        <v>4.5999999999999999E-2</v>
      </c>
      <c r="I845" s="41">
        <f t="shared" ref="I845" si="855">ROUND(I844/(I$832+I$834+I$836+I$838+I$840+I$842+I$844+I$846),3)</f>
        <v>7.3999999999999996E-2</v>
      </c>
      <c r="J845" s="41">
        <f t="shared" ref="J845" si="856">ROUND(J844/(J$832+J$834+J$836+J$838+J$840+J$842+J$844+J$846),3)</f>
        <v>4.2000000000000003E-2</v>
      </c>
      <c r="K845" s="42">
        <f t="shared" ref="K845" si="857">ROUND(K844/(K$832+K$834+K$836+K$838+K$840+K$842+K$844+K$846),3)</f>
        <v>4.2000000000000003E-2</v>
      </c>
      <c r="L845" s="40">
        <f>ROUND(L844/(L$832+L$834+L$836+L$838+L$840+L$842+L$844+L$846),3)</f>
        <v>0.06</v>
      </c>
      <c r="M845" s="41">
        <f t="shared" ref="M845:O845" si="858">ROUND(M844/(M$832+M$834+M$836+M$838+M$840+M$842+M$844+M$846),3)</f>
        <v>0.152</v>
      </c>
      <c r="N845" s="41">
        <f t="shared" si="858"/>
        <v>5.3999999999999999E-2</v>
      </c>
      <c r="O845" s="42">
        <f t="shared" si="858"/>
        <v>4.7E-2</v>
      </c>
      <c r="P845" s="43">
        <f>ROUND(P844/(P$832+P$834+P$836+P$838+P$842+P$844+P$848),3)</f>
        <v>2.5000000000000001E-2</v>
      </c>
      <c r="Q845" s="43">
        <f t="shared" ref="Q845:S845" si="859">ROUND(Q844/(Q$832+Q$834+Q$836+Q$838+Q$842+Q$844+Q$848),3)</f>
        <v>0.03</v>
      </c>
      <c r="R845" s="43">
        <f t="shared" si="859"/>
        <v>1.6E-2</v>
      </c>
      <c r="S845" s="43">
        <f t="shared" si="859"/>
        <v>0.03</v>
      </c>
      <c r="T845" s="57"/>
      <c r="AL845" s="7"/>
      <c r="AN845" s="1"/>
    </row>
    <row r="846" spans="4:40" ht="13.5" customHeight="1" x14ac:dyDescent="0.15">
      <c r="D846" s="257" t="s">
        <v>88</v>
      </c>
      <c r="E846" s="258"/>
      <c r="F846" s="258"/>
      <c r="G846" s="265"/>
      <c r="H846" s="22">
        <f>I846+J846+K846</f>
        <v>18</v>
      </c>
      <c r="I846" s="23">
        <v>4</v>
      </c>
      <c r="J846" s="23">
        <v>4</v>
      </c>
      <c r="K846" s="24">
        <v>10</v>
      </c>
      <c r="L846" s="22">
        <f>M846+N846+O846</f>
        <v>17</v>
      </c>
      <c r="M846" s="23">
        <v>1</v>
      </c>
      <c r="N846" s="23">
        <v>6</v>
      </c>
      <c r="O846" s="24">
        <v>10</v>
      </c>
      <c r="P846" s="199" t="s">
        <v>7</v>
      </c>
      <c r="Q846" s="201" t="s">
        <v>7</v>
      </c>
      <c r="R846" s="201" t="s">
        <v>7</v>
      </c>
      <c r="S846" s="201" t="s">
        <v>7</v>
      </c>
      <c r="T846" s="206"/>
      <c r="AL846" s="7"/>
      <c r="AN846" s="1"/>
    </row>
    <row r="847" spans="4:40" x14ac:dyDescent="0.15">
      <c r="D847" s="259"/>
      <c r="E847" s="260"/>
      <c r="F847" s="260"/>
      <c r="G847" s="266"/>
      <c r="H847" s="40">
        <f>ROUND(H846/(H$832+H$834+H$836+H$838+H$840+H$842+H$844+H$846),3)</f>
        <v>2.1999999999999999E-2</v>
      </c>
      <c r="I847" s="41">
        <f t="shared" ref="I847" si="860">ROUND(I846/(I$832+I$834+I$836+I$838+I$840+I$842+I$844+I$846),3)</f>
        <v>4.9000000000000002E-2</v>
      </c>
      <c r="J847" s="41">
        <f t="shared" ref="J847" si="861">ROUND(J846/(J$832+J$834+J$836+J$838+J$840+J$842+J$844+J$846),3)</f>
        <v>1.9E-2</v>
      </c>
      <c r="K847" s="42">
        <f t="shared" ref="K847" si="862">ROUND(K846/(K$832+K$834+K$836+K$838+K$840+K$842+K$844+K$846),3)</f>
        <v>1.9E-2</v>
      </c>
      <c r="L847" s="40">
        <f>ROUND(L846/(L$832+L$834+L$836+L$838+L$840+L$842+L$844+L$846),3)</f>
        <v>0.02</v>
      </c>
      <c r="M847" s="41">
        <f t="shared" ref="M847:O847" si="863">ROUND(M846/(M$832+M$834+M$836+M$838+M$840+M$842+M$844+M$846),3)</f>
        <v>1.0999999999999999E-2</v>
      </c>
      <c r="N847" s="41">
        <f t="shared" si="863"/>
        <v>2.5000000000000001E-2</v>
      </c>
      <c r="O847" s="42">
        <f t="shared" si="863"/>
        <v>1.9E-2</v>
      </c>
      <c r="P847" s="200"/>
      <c r="Q847" s="202"/>
      <c r="R847" s="202"/>
      <c r="S847" s="202"/>
      <c r="T847" s="206"/>
      <c r="AL847" s="7"/>
      <c r="AN847" s="1"/>
    </row>
    <row r="848" spans="4:40" ht="13.5" customHeight="1" x14ac:dyDescent="0.15">
      <c r="D848" s="257" t="s">
        <v>19</v>
      </c>
      <c r="E848" s="258"/>
      <c r="F848" s="258"/>
      <c r="G848" s="265"/>
      <c r="H848" s="182" t="s">
        <v>7</v>
      </c>
      <c r="I848" s="176" t="s">
        <v>7</v>
      </c>
      <c r="J848" s="176" t="s">
        <v>7</v>
      </c>
      <c r="K848" s="180" t="s">
        <v>7</v>
      </c>
      <c r="L848" s="182" t="s">
        <v>7</v>
      </c>
      <c r="M848" s="176" t="s">
        <v>7</v>
      </c>
      <c r="N848" s="176" t="s">
        <v>7</v>
      </c>
      <c r="O848" s="180" t="s">
        <v>7</v>
      </c>
      <c r="P848" s="25">
        <f>Q848+R848+S848</f>
        <v>195</v>
      </c>
      <c r="Q848" s="23">
        <v>15</v>
      </c>
      <c r="R848" s="23">
        <v>64</v>
      </c>
      <c r="S848" s="23">
        <v>116</v>
      </c>
      <c r="T848" s="99"/>
      <c r="AL848" s="7"/>
      <c r="AN848" s="1"/>
    </row>
    <row r="849" spans="4:40" x14ac:dyDescent="0.15">
      <c r="D849" s="259"/>
      <c r="E849" s="260"/>
      <c r="F849" s="260"/>
      <c r="G849" s="266"/>
      <c r="H849" s="183"/>
      <c r="I849" s="177"/>
      <c r="J849" s="177"/>
      <c r="K849" s="181"/>
      <c r="L849" s="183"/>
      <c r="M849" s="177"/>
      <c r="N849" s="177"/>
      <c r="O849" s="181"/>
      <c r="P849" s="43">
        <f>ROUND(P848/(P$832+P$834+P$836+P$838+P$842+P$844+P$848),3)</f>
        <v>0.248</v>
      </c>
      <c r="Q849" s="43">
        <f>ROUND(Q848/(Q$832+Q$834+Q$836+Q$838+Q$842+Q$844+Q$848),3)+0.001</f>
        <v>0.22800000000000001</v>
      </c>
      <c r="R849" s="43">
        <f t="shared" ref="R849" si="864">ROUND(R848/(R$832+R$834+R$836+R$838+R$842+R$844+R$848),3)</f>
        <v>0.25</v>
      </c>
      <c r="S849" s="43">
        <f>ROUND(S848/(S$832+S$834+S$836+S$838+S$842+S$844+S$848),3)+0.001</f>
        <v>0.25</v>
      </c>
      <c r="T849" s="57"/>
      <c r="AL849" s="7"/>
      <c r="AN849" s="1"/>
    </row>
    <row r="850" spans="4:40" x14ac:dyDescent="0.15">
      <c r="D850" s="203" t="s">
        <v>20</v>
      </c>
      <c r="E850" s="197"/>
      <c r="F850" s="197"/>
      <c r="G850" s="248"/>
      <c r="H850" s="22">
        <f>H832+H834+H836+H838+H840+H842+H844+H846</f>
        <v>813</v>
      </c>
      <c r="I850" s="23">
        <f t="shared" ref="I850:K850" si="865">I832+I834+I836+I838+I840+I842+I844+I846</f>
        <v>81</v>
      </c>
      <c r="J850" s="23">
        <f t="shared" si="865"/>
        <v>212</v>
      </c>
      <c r="K850" s="24">
        <f t="shared" si="865"/>
        <v>520</v>
      </c>
      <c r="L850" s="22">
        <f>L832+L834+L836+L838+L840+L842+L844+L846</f>
        <v>862</v>
      </c>
      <c r="M850" s="23">
        <f t="shared" ref="M850:O850" si="866">M832+M834+M836+M838+M840+M842+M844+M846</f>
        <v>92</v>
      </c>
      <c r="N850" s="23">
        <f t="shared" si="866"/>
        <v>242</v>
      </c>
      <c r="O850" s="24">
        <f t="shared" si="866"/>
        <v>528</v>
      </c>
      <c r="P850" s="45">
        <f>P832+P834+P836+P838+P842+P844+P848</f>
        <v>787</v>
      </c>
      <c r="Q850" s="23">
        <f t="shared" ref="Q850:S850" si="867">Q832+Q834+Q836+Q838+Q842+Q844+Q848</f>
        <v>66</v>
      </c>
      <c r="R850" s="23">
        <f t="shared" si="867"/>
        <v>256</v>
      </c>
      <c r="S850" s="23">
        <f t="shared" si="867"/>
        <v>465</v>
      </c>
      <c r="T850" s="99"/>
      <c r="AL850" s="7"/>
      <c r="AN850" s="1"/>
    </row>
    <row r="851" spans="4:40" ht="14.25" thickBot="1" x14ac:dyDescent="0.2">
      <c r="D851" s="210"/>
      <c r="E851" s="211"/>
      <c r="F851" s="211"/>
      <c r="G851" s="249"/>
      <c r="H851" s="133">
        <f>H833+H835+H837+H839+H841+H843+H845+H847</f>
        <v>1.0009999999999999</v>
      </c>
      <c r="I851" s="134">
        <f t="shared" ref="I851:K851" si="868">I833+I835+I837+I839+I841+I843+I845+I847</f>
        <v>0.99799999999999989</v>
      </c>
      <c r="J851" s="134">
        <f t="shared" si="868"/>
        <v>0.99999999999999989</v>
      </c>
      <c r="K851" s="135">
        <f t="shared" si="868"/>
        <v>0.99999999999999989</v>
      </c>
      <c r="L851" s="133">
        <f>L833+L835+L837+L839+L841+L843+L845+L847</f>
        <v>1</v>
      </c>
      <c r="M851" s="134">
        <f t="shared" ref="M851:O851" si="869">M833+M835+M837+M839+M841+M843+M845+M847</f>
        <v>1</v>
      </c>
      <c r="N851" s="134">
        <f t="shared" si="869"/>
        <v>1</v>
      </c>
      <c r="O851" s="135">
        <f t="shared" si="869"/>
        <v>1</v>
      </c>
      <c r="P851" s="132">
        <f>P833+P835+P837+P839+P843+P845+P849</f>
        <v>0.99999999999999989</v>
      </c>
      <c r="Q851" s="136">
        <f t="shared" ref="Q851:S851" si="870">Q833+Q835+Q837+Q839+Q841+Q843+Q845+Q849</f>
        <v>1</v>
      </c>
      <c r="R851" s="136">
        <f t="shared" si="870"/>
        <v>1</v>
      </c>
      <c r="S851" s="136">
        <f t="shared" si="870"/>
        <v>1</v>
      </c>
      <c r="T851" s="57"/>
      <c r="AL851" s="7"/>
      <c r="AN851" s="1"/>
    </row>
    <row r="852" spans="4:40" x14ac:dyDescent="0.15">
      <c r="D852" s="82"/>
      <c r="E852" s="129"/>
      <c r="F852" s="69"/>
      <c r="G852" s="69"/>
      <c r="H852" s="69"/>
      <c r="I852" s="69"/>
      <c r="J852" s="57"/>
      <c r="K852" s="57"/>
      <c r="L852" s="57"/>
      <c r="M852" s="57"/>
      <c r="N852" s="57"/>
      <c r="O852" s="57"/>
      <c r="P852" s="57"/>
      <c r="Q852" s="57"/>
      <c r="R852" s="50"/>
      <c r="S852" s="50"/>
      <c r="T852" s="34"/>
      <c r="V852" s="34"/>
      <c r="W852" s="2"/>
    </row>
    <row r="853" spans="4:40" x14ac:dyDescent="0.15">
      <c r="D853" s="82"/>
      <c r="E853" s="129"/>
      <c r="F853" s="69"/>
      <c r="G853" s="69"/>
      <c r="H853" s="69"/>
      <c r="I853" s="69"/>
      <c r="J853" s="57"/>
      <c r="K853" s="57"/>
      <c r="L853" s="57"/>
      <c r="M853" s="57"/>
      <c r="N853" s="57"/>
      <c r="O853" s="57"/>
      <c r="P853" s="57"/>
      <c r="Q853" s="57"/>
      <c r="R853" s="50"/>
      <c r="S853" s="50"/>
      <c r="T853" s="34"/>
      <c r="V853" s="34"/>
      <c r="W853" s="2"/>
    </row>
    <row r="854" spans="4:40" x14ac:dyDescent="0.15">
      <c r="D854" s="82"/>
      <c r="E854" s="129"/>
      <c r="F854" s="69"/>
      <c r="G854" s="69"/>
      <c r="H854" s="69"/>
      <c r="I854" s="69"/>
      <c r="J854" s="57"/>
      <c r="K854" s="57"/>
      <c r="L854" s="57"/>
      <c r="M854" s="57"/>
      <c r="N854" s="57"/>
      <c r="O854" s="57"/>
      <c r="P854" s="57"/>
      <c r="Q854" s="57"/>
      <c r="R854" s="50"/>
      <c r="S854" s="50"/>
      <c r="T854" s="281" t="s">
        <v>234</v>
      </c>
      <c r="U854" s="6">
        <v>227</v>
      </c>
      <c r="V854" s="34"/>
      <c r="W854" s="2"/>
    </row>
    <row r="855" spans="4:40" x14ac:dyDescent="0.15">
      <c r="D855" s="82"/>
      <c r="E855" s="129"/>
      <c r="F855" s="69"/>
      <c r="G855" s="69"/>
      <c r="H855" s="69"/>
      <c r="I855" s="69"/>
      <c r="J855" s="57"/>
      <c r="K855" s="57"/>
      <c r="L855" s="57"/>
      <c r="M855" s="57"/>
      <c r="N855" s="57"/>
      <c r="O855" s="57"/>
      <c r="P855" s="57"/>
      <c r="Q855" s="57"/>
      <c r="R855" s="50"/>
      <c r="S855" s="50"/>
      <c r="T855" s="281" t="s">
        <v>235</v>
      </c>
      <c r="U855" s="6">
        <v>143</v>
      </c>
      <c r="V855" s="34"/>
      <c r="W855" s="2"/>
    </row>
    <row r="856" spans="4:40" x14ac:dyDescent="0.15">
      <c r="D856" s="82"/>
      <c r="E856" s="129"/>
      <c r="F856" s="69"/>
      <c r="G856" s="69"/>
      <c r="H856" s="69"/>
      <c r="I856" s="69"/>
      <c r="J856" s="57"/>
      <c r="K856" s="57"/>
      <c r="L856" s="57"/>
      <c r="M856" s="57"/>
      <c r="N856" s="57"/>
      <c r="O856" s="57"/>
      <c r="P856" s="57"/>
      <c r="Q856" s="57"/>
      <c r="R856" s="50"/>
      <c r="S856" s="50"/>
      <c r="T856" s="281" t="s">
        <v>236</v>
      </c>
      <c r="U856" s="6">
        <v>146</v>
      </c>
      <c r="V856" s="34"/>
      <c r="W856" s="2"/>
    </row>
    <row r="857" spans="4:40" x14ac:dyDescent="0.15">
      <c r="D857" s="82"/>
      <c r="E857" s="129"/>
      <c r="F857" s="69"/>
      <c r="G857" s="69"/>
      <c r="H857" s="69"/>
      <c r="I857" s="69"/>
      <c r="J857" s="57"/>
      <c r="K857" s="57"/>
      <c r="L857" s="57"/>
      <c r="M857" s="57"/>
      <c r="N857" s="57"/>
      <c r="O857" s="57"/>
      <c r="P857" s="57"/>
      <c r="Q857" s="57"/>
      <c r="R857" s="50"/>
      <c r="S857" s="50"/>
      <c r="T857" s="166" t="s">
        <v>6</v>
      </c>
      <c r="U857" s="6">
        <v>103</v>
      </c>
      <c r="V857" s="34"/>
      <c r="W857" s="2"/>
    </row>
    <row r="858" spans="4:40" x14ac:dyDescent="0.15">
      <c r="D858" s="82"/>
      <c r="E858" s="129"/>
      <c r="F858" s="69"/>
      <c r="G858" s="69"/>
      <c r="H858" s="69"/>
      <c r="I858" s="69"/>
      <c r="J858" s="57"/>
      <c r="K858" s="57"/>
      <c r="L858" s="57"/>
      <c r="M858" s="57"/>
      <c r="N858" s="57"/>
      <c r="O858" s="57"/>
      <c r="P858" s="57"/>
      <c r="Q858" s="57"/>
      <c r="R858" s="50"/>
      <c r="S858" s="50"/>
      <c r="T858" s="166" t="s">
        <v>115</v>
      </c>
      <c r="U858" s="6">
        <v>79</v>
      </c>
      <c r="V858" s="34"/>
      <c r="W858" s="2"/>
    </row>
    <row r="859" spans="4:40" x14ac:dyDescent="0.15">
      <c r="D859" s="82"/>
      <c r="E859" s="129"/>
      <c r="F859" s="69"/>
      <c r="G859" s="69"/>
      <c r="H859" s="69"/>
      <c r="I859" s="69"/>
      <c r="J859" s="57"/>
      <c r="K859" s="57"/>
      <c r="L859" s="57"/>
      <c r="M859" s="57"/>
      <c r="N859" s="57"/>
      <c r="O859" s="57"/>
      <c r="P859" s="57"/>
      <c r="Q859" s="57"/>
      <c r="R859" s="50"/>
      <c r="S859" s="50"/>
      <c r="T859" s="281" t="s">
        <v>237</v>
      </c>
      <c r="U859" s="6">
        <v>60</v>
      </c>
      <c r="V859" s="34"/>
      <c r="W859" s="2"/>
    </row>
    <row r="860" spans="4:40" x14ac:dyDescent="0.15">
      <c r="D860" s="82"/>
      <c r="E860" s="129"/>
      <c r="F860" s="69"/>
      <c r="G860" s="69"/>
      <c r="H860" s="69"/>
      <c r="I860" s="69"/>
      <c r="J860" s="57"/>
      <c r="K860" s="57"/>
      <c r="L860" s="57"/>
      <c r="M860" s="57"/>
      <c r="N860" s="57"/>
      <c r="O860" s="57"/>
      <c r="P860" s="57"/>
      <c r="Q860" s="57"/>
      <c r="R860" s="50"/>
      <c r="S860" s="50"/>
      <c r="T860" s="281" t="s">
        <v>238</v>
      </c>
      <c r="U860" s="6">
        <v>37</v>
      </c>
      <c r="V860" s="34"/>
      <c r="W860" s="2"/>
    </row>
    <row r="861" spans="4:40" x14ac:dyDescent="0.15">
      <c r="D861" s="82"/>
      <c r="E861" s="129"/>
      <c r="F861" s="69"/>
      <c r="G861" s="69"/>
      <c r="H861" s="69"/>
      <c r="I861" s="69"/>
      <c r="J861" s="57"/>
      <c r="K861" s="57"/>
      <c r="L861" s="57"/>
      <c r="M861" s="57"/>
      <c r="N861" s="57"/>
      <c r="O861" s="57"/>
      <c r="P861" s="57"/>
      <c r="Q861" s="57"/>
      <c r="R861" s="50"/>
      <c r="S861" s="50"/>
      <c r="T861" s="166" t="s">
        <v>88</v>
      </c>
      <c r="U861" s="6">
        <v>18</v>
      </c>
      <c r="V861" s="34"/>
      <c r="W861" s="2"/>
    </row>
    <row r="862" spans="4:40" x14ac:dyDescent="0.15">
      <c r="D862" s="82"/>
      <c r="E862" s="129"/>
      <c r="F862" s="69"/>
      <c r="G862" s="69"/>
      <c r="H862" s="69"/>
      <c r="I862" s="69"/>
      <c r="J862" s="57"/>
      <c r="K862" s="57"/>
      <c r="L862" s="57"/>
      <c r="M862" s="57"/>
      <c r="N862" s="57"/>
      <c r="O862" s="57"/>
      <c r="P862" s="57"/>
      <c r="Q862" s="57"/>
      <c r="R862" s="50"/>
      <c r="S862" s="50"/>
      <c r="T862" s="166"/>
      <c r="V862" s="34"/>
      <c r="W862" s="2"/>
    </row>
    <row r="863" spans="4:40" x14ac:dyDescent="0.15">
      <c r="D863" s="82"/>
      <c r="E863" s="129"/>
      <c r="F863" s="69"/>
      <c r="G863" s="69"/>
      <c r="H863" s="69"/>
      <c r="I863" s="69"/>
      <c r="J863" s="57"/>
      <c r="K863" s="57"/>
      <c r="L863" s="57"/>
      <c r="M863" s="57"/>
      <c r="N863" s="57"/>
      <c r="O863" s="57"/>
      <c r="P863" s="57"/>
      <c r="Q863" s="57"/>
      <c r="R863" s="50"/>
      <c r="S863" s="50"/>
      <c r="T863" s="34"/>
      <c r="V863" s="34"/>
      <c r="W863" s="2"/>
    </row>
    <row r="864" spans="4:40" x14ac:dyDescent="0.15">
      <c r="D864" s="82"/>
      <c r="E864" s="129"/>
      <c r="F864" s="69"/>
      <c r="G864" s="69"/>
      <c r="H864" s="69"/>
      <c r="I864" s="69"/>
      <c r="J864" s="57"/>
      <c r="K864" s="57"/>
      <c r="L864" s="57"/>
      <c r="M864" s="57"/>
      <c r="N864" s="57"/>
      <c r="O864" s="57"/>
      <c r="P864" s="57"/>
      <c r="Q864" s="57"/>
      <c r="R864" s="50"/>
      <c r="S864" s="50"/>
      <c r="T864" s="34"/>
      <c r="V864" s="34"/>
      <c r="W864" s="2"/>
    </row>
    <row r="865" spans="2:40" x14ac:dyDescent="0.15">
      <c r="D865" s="82"/>
      <c r="E865" s="129"/>
      <c r="F865" s="69"/>
      <c r="G865" s="69"/>
      <c r="H865" s="69"/>
      <c r="I865" s="69"/>
      <c r="J865" s="57"/>
      <c r="K865" s="57"/>
      <c r="L865" s="57"/>
      <c r="M865" s="57"/>
      <c r="N865" s="57"/>
      <c r="O865" s="57"/>
      <c r="P865" s="57"/>
      <c r="Q865" s="57"/>
      <c r="R865" s="50"/>
      <c r="S865" s="50"/>
      <c r="T865" s="34"/>
      <c r="V865" s="34"/>
      <c r="W865" s="2"/>
    </row>
    <row r="866" spans="2:40" x14ac:dyDescent="0.15">
      <c r="D866" s="82"/>
      <c r="E866" s="129"/>
      <c r="F866" s="69"/>
      <c r="G866" s="69"/>
      <c r="H866" s="69"/>
      <c r="I866" s="69"/>
      <c r="J866" s="57"/>
      <c r="K866" s="57"/>
      <c r="L866" s="57"/>
      <c r="M866" s="57"/>
      <c r="N866" s="57"/>
      <c r="O866" s="57"/>
      <c r="P866" s="57"/>
      <c r="Q866" s="57"/>
      <c r="R866" s="50"/>
      <c r="S866" s="50"/>
      <c r="T866" s="34"/>
      <c r="V866" s="34"/>
      <c r="W866" s="2"/>
    </row>
    <row r="867" spans="2:40" x14ac:dyDescent="0.15">
      <c r="D867" s="82"/>
      <c r="E867" s="129"/>
      <c r="F867" s="69"/>
      <c r="G867" s="69"/>
      <c r="H867" s="69"/>
      <c r="I867" s="69"/>
      <c r="J867" s="57"/>
      <c r="K867" s="57"/>
      <c r="L867" s="57"/>
      <c r="M867" s="57"/>
      <c r="N867" s="57"/>
      <c r="O867" s="57"/>
      <c r="P867" s="57"/>
      <c r="Q867" s="57"/>
      <c r="R867" s="50"/>
      <c r="S867" s="50"/>
      <c r="T867" s="34"/>
      <c r="V867" s="34"/>
      <c r="W867" s="2"/>
    </row>
    <row r="868" spans="2:40" x14ac:dyDescent="0.15">
      <c r="D868" s="82"/>
      <c r="E868" s="129"/>
      <c r="F868" s="69"/>
      <c r="G868" s="69"/>
      <c r="H868" s="69"/>
      <c r="I868" s="69"/>
      <c r="J868" s="57"/>
      <c r="K868" s="57"/>
      <c r="L868" s="57"/>
      <c r="M868" s="57"/>
      <c r="N868" s="57"/>
      <c r="O868" s="57"/>
      <c r="P868" s="57"/>
      <c r="Q868" s="57"/>
      <c r="R868" s="50"/>
      <c r="S868" s="50"/>
      <c r="T868" s="34"/>
      <c r="V868" s="34"/>
      <c r="W868" s="2"/>
    </row>
    <row r="869" spans="2:40" x14ac:dyDescent="0.15">
      <c r="D869" s="82"/>
      <c r="E869" s="129"/>
      <c r="F869" s="69"/>
      <c r="G869" s="69"/>
      <c r="H869" s="69"/>
      <c r="I869" s="69"/>
      <c r="J869" s="57"/>
      <c r="K869" s="57"/>
      <c r="L869" s="57"/>
      <c r="M869" s="57"/>
      <c r="N869" s="57"/>
      <c r="O869" s="57"/>
      <c r="P869" s="57"/>
      <c r="Q869" s="57"/>
      <c r="R869" s="50"/>
      <c r="S869" s="50"/>
      <c r="T869" s="34"/>
      <c r="V869" s="34"/>
      <c r="W869" s="2"/>
    </row>
    <row r="870" spans="2:40" x14ac:dyDescent="0.15">
      <c r="D870" s="82"/>
      <c r="E870" s="129"/>
      <c r="F870" s="69"/>
      <c r="G870" s="69"/>
      <c r="H870" s="69"/>
      <c r="I870" s="69"/>
      <c r="J870" s="57"/>
      <c r="K870" s="57"/>
      <c r="L870" s="57"/>
      <c r="M870" s="57"/>
      <c r="N870" s="57"/>
      <c r="O870" s="57"/>
      <c r="P870" s="57"/>
      <c r="Q870" s="57"/>
      <c r="R870" s="50"/>
      <c r="S870" s="50"/>
      <c r="T870" s="34"/>
      <c r="V870" s="34"/>
      <c r="W870" s="2"/>
    </row>
    <row r="871" spans="2:40" x14ac:dyDescent="0.15">
      <c r="D871" s="82"/>
      <c r="E871" s="129"/>
      <c r="F871" s="69"/>
      <c r="G871" s="69"/>
      <c r="H871" s="69"/>
      <c r="I871" s="69"/>
      <c r="J871" s="57"/>
      <c r="K871" s="57"/>
      <c r="L871" s="57"/>
      <c r="M871" s="57"/>
      <c r="N871" s="57"/>
      <c r="O871" s="57"/>
      <c r="P871" s="57"/>
      <c r="Q871" s="57"/>
      <c r="R871" s="50"/>
      <c r="S871" s="50"/>
      <c r="T871" s="34"/>
      <c r="V871" s="34"/>
      <c r="W871" s="2"/>
    </row>
    <row r="872" spans="2:40" x14ac:dyDescent="0.15">
      <c r="D872" s="82"/>
      <c r="E872" s="129"/>
      <c r="F872" s="69"/>
      <c r="G872" s="69"/>
      <c r="H872" s="69"/>
      <c r="I872" s="69"/>
      <c r="J872" s="57"/>
      <c r="K872" s="57"/>
      <c r="L872" s="57"/>
      <c r="M872" s="57"/>
      <c r="N872" s="57"/>
      <c r="O872" s="57"/>
      <c r="P872" s="57"/>
      <c r="Q872" s="57"/>
      <c r="R872" s="50"/>
      <c r="S872" s="50"/>
      <c r="T872" s="34"/>
      <c r="V872" s="34"/>
      <c r="W872" s="2"/>
    </row>
    <row r="873" spans="2:40" x14ac:dyDescent="0.15">
      <c r="D873" s="82"/>
      <c r="E873" s="129"/>
      <c r="F873" s="69"/>
      <c r="G873" s="69"/>
      <c r="H873" s="69"/>
      <c r="I873" s="69"/>
      <c r="J873" s="57"/>
      <c r="K873" s="57"/>
      <c r="L873" s="57"/>
      <c r="M873" s="57"/>
      <c r="N873" s="57"/>
      <c r="O873" s="57"/>
      <c r="P873" s="57"/>
      <c r="Q873" s="57"/>
      <c r="R873" s="50"/>
      <c r="S873" s="50"/>
      <c r="T873" s="34"/>
      <c r="V873" s="34"/>
      <c r="W873" s="2"/>
    </row>
    <row r="874" spans="2:40" x14ac:dyDescent="0.15">
      <c r="D874" s="82"/>
      <c r="E874" s="129"/>
      <c r="F874" s="69"/>
      <c r="G874" s="69"/>
      <c r="H874" s="69"/>
      <c r="I874" s="69"/>
      <c r="J874" s="57"/>
      <c r="K874" s="57"/>
      <c r="L874" s="57"/>
      <c r="M874" s="57"/>
      <c r="N874" s="57"/>
      <c r="O874" s="57"/>
      <c r="P874" s="57"/>
      <c r="Q874" s="57"/>
      <c r="R874" s="50"/>
      <c r="S874" s="50"/>
      <c r="T874" s="34"/>
      <c r="V874" s="34"/>
      <c r="W874" s="2"/>
    </row>
    <row r="875" spans="2:40" x14ac:dyDescent="0.15">
      <c r="D875" s="82"/>
      <c r="E875" s="129"/>
      <c r="F875" s="69"/>
      <c r="G875" s="69"/>
      <c r="H875" s="69"/>
      <c r="I875" s="69"/>
      <c r="J875" s="57"/>
      <c r="K875" s="57"/>
      <c r="L875" s="57"/>
      <c r="M875" s="57"/>
      <c r="N875" s="57"/>
      <c r="O875" s="57"/>
      <c r="P875" s="57"/>
      <c r="Q875" s="57"/>
      <c r="R875" s="50"/>
      <c r="S875" s="50"/>
      <c r="T875" s="34"/>
      <c r="V875" s="34"/>
      <c r="W875" s="2"/>
    </row>
    <row r="876" spans="2:40" x14ac:dyDescent="0.15">
      <c r="B876" s="3" t="s">
        <v>210</v>
      </c>
      <c r="D876" s="82"/>
      <c r="E876" s="129"/>
      <c r="F876" s="69"/>
      <c r="G876" s="69"/>
      <c r="H876" s="69"/>
      <c r="I876" s="69"/>
      <c r="J876" s="57"/>
      <c r="K876" s="57"/>
      <c r="L876" s="57"/>
      <c r="M876" s="57"/>
      <c r="N876" s="57"/>
      <c r="O876" s="57"/>
      <c r="P876" s="57"/>
      <c r="Q876" s="57"/>
      <c r="R876" s="50"/>
      <c r="S876" s="50"/>
      <c r="V876" s="34"/>
      <c r="W876" s="2"/>
    </row>
    <row r="877" spans="2:40" s="2" customFormat="1" x14ac:dyDescent="0.15">
      <c r="B877" s="165"/>
      <c r="C877" s="166" t="s">
        <v>250</v>
      </c>
      <c r="D877" s="167"/>
      <c r="E877" s="167"/>
      <c r="F877" s="168"/>
      <c r="G877" s="69"/>
      <c r="H877" s="69"/>
      <c r="I877" s="69"/>
      <c r="J877" s="57"/>
      <c r="K877" s="57"/>
      <c r="L877" s="57"/>
      <c r="M877" s="57"/>
      <c r="N877" s="57"/>
      <c r="O877" s="57"/>
      <c r="P877" s="57"/>
      <c r="Q877" s="57"/>
      <c r="R877" s="50"/>
      <c r="S877" s="50"/>
      <c r="V877" s="129"/>
      <c r="W877" s="129"/>
      <c r="AN877" s="107"/>
    </row>
    <row r="878" spans="2:40" s="2" customFormat="1" ht="13.5" customHeight="1" x14ac:dyDescent="0.15">
      <c r="B878" s="166"/>
      <c r="C878" s="166"/>
      <c r="D878" s="169" t="s">
        <v>273</v>
      </c>
      <c r="E878" s="167"/>
      <c r="F878" s="168"/>
      <c r="G878" s="69"/>
      <c r="H878" s="69"/>
      <c r="I878" s="69"/>
      <c r="J878" s="57"/>
      <c r="K878" s="57"/>
      <c r="L878" s="57"/>
      <c r="M878" s="57"/>
      <c r="N878" s="57"/>
      <c r="O878" s="57"/>
      <c r="P878" s="57"/>
      <c r="Q878" s="57"/>
      <c r="R878" s="50"/>
      <c r="S878" s="50"/>
      <c r="T878" s="34"/>
      <c r="V878" s="36"/>
      <c r="W878" s="129"/>
      <c r="AN878" s="107"/>
    </row>
    <row r="879" spans="2:40" s="2" customFormat="1" x14ac:dyDescent="0.15">
      <c r="B879" s="166"/>
      <c r="C879" s="166"/>
      <c r="D879" s="169" t="s">
        <v>274</v>
      </c>
      <c r="E879" s="167"/>
      <c r="F879" s="168"/>
      <c r="G879" s="69"/>
      <c r="H879" s="69"/>
      <c r="I879" s="69"/>
      <c r="J879" s="57"/>
      <c r="K879" s="57"/>
      <c r="L879" s="57"/>
      <c r="M879" s="57"/>
      <c r="N879" s="57"/>
      <c r="O879" s="57"/>
      <c r="P879" s="57"/>
      <c r="Q879" s="57"/>
      <c r="R879" s="50"/>
      <c r="S879" s="50"/>
      <c r="T879" s="34"/>
      <c r="V879" s="36"/>
      <c r="W879" s="129"/>
      <c r="AN879" s="107"/>
    </row>
    <row r="880" spans="2:40" s="2" customFormat="1" x14ac:dyDescent="0.15">
      <c r="B880" s="166"/>
      <c r="C880" s="166" t="s">
        <v>251</v>
      </c>
      <c r="D880" s="169"/>
      <c r="E880" s="167"/>
      <c r="F880" s="168"/>
      <c r="G880" s="69"/>
      <c r="H880" s="69"/>
      <c r="I880" s="69"/>
      <c r="J880" s="57"/>
      <c r="K880" s="57"/>
      <c r="L880" s="57"/>
      <c r="M880" s="57"/>
      <c r="N880" s="57"/>
      <c r="O880" s="57"/>
      <c r="P880" s="57"/>
      <c r="Q880" s="57"/>
      <c r="R880" s="50"/>
      <c r="S880" s="50"/>
      <c r="T880" s="34"/>
      <c r="V880" s="36"/>
      <c r="W880" s="129"/>
      <c r="AN880" s="107"/>
    </row>
    <row r="881" spans="2:40" s="2" customFormat="1" x14ac:dyDescent="0.15">
      <c r="B881" s="166"/>
      <c r="C881" s="166"/>
      <c r="D881" s="169" t="s">
        <v>173</v>
      </c>
      <c r="E881" s="167"/>
      <c r="F881" s="168"/>
      <c r="G881" s="69"/>
      <c r="H881" s="69"/>
      <c r="I881" s="69"/>
      <c r="J881" s="57"/>
      <c r="K881" s="57"/>
      <c r="L881" s="57"/>
      <c r="M881" s="57"/>
      <c r="N881" s="57"/>
      <c r="O881" s="57"/>
      <c r="P881" s="57"/>
      <c r="Q881" s="57"/>
      <c r="R881" s="50"/>
      <c r="S881" s="50"/>
      <c r="T881" s="34"/>
      <c r="V881" s="36"/>
      <c r="W881" s="129"/>
      <c r="AN881" s="107"/>
    </row>
    <row r="882" spans="2:40" s="2" customFormat="1" x14ac:dyDescent="0.15">
      <c r="B882" s="166"/>
      <c r="C882" s="166"/>
      <c r="D882" s="169" t="s">
        <v>278</v>
      </c>
      <c r="E882" s="167"/>
      <c r="F882" s="168"/>
      <c r="G882" s="69"/>
      <c r="H882" s="69"/>
      <c r="I882" s="69"/>
      <c r="J882" s="57"/>
      <c r="K882" s="57"/>
      <c r="L882" s="57"/>
      <c r="M882" s="57"/>
      <c r="N882" s="57"/>
      <c r="O882" s="57"/>
      <c r="P882" s="57"/>
      <c r="Q882" s="57"/>
      <c r="R882" s="50"/>
      <c r="S882" s="50"/>
      <c r="T882" s="34"/>
      <c r="V882" s="36"/>
      <c r="W882" s="129"/>
      <c r="AN882" s="107"/>
    </row>
    <row r="883" spans="2:40" s="2" customFormat="1" x14ac:dyDescent="0.15">
      <c r="B883" s="166"/>
      <c r="C883" s="166" t="s">
        <v>252</v>
      </c>
      <c r="D883" s="169"/>
      <c r="E883" s="167"/>
      <c r="F883" s="168"/>
      <c r="G883" s="69"/>
      <c r="H883" s="69"/>
      <c r="I883" s="69"/>
      <c r="J883" s="57"/>
      <c r="K883" s="57"/>
      <c r="L883" s="57"/>
      <c r="M883" s="57"/>
      <c r="N883" s="57"/>
      <c r="O883" s="57"/>
      <c r="P883" s="57"/>
      <c r="Q883" s="57"/>
      <c r="R883" s="50"/>
      <c r="S883" s="50"/>
      <c r="T883" s="34"/>
      <c r="V883" s="36"/>
      <c r="W883" s="129"/>
      <c r="AN883" s="107"/>
    </row>
    <row r="884" spans="2:40" s="2" customFormat="1" x14ac:dyDescent="0.15">
      <c r="B884" s="166"/>
      <c r="C884" s="166"/>
      <c r="D884" s="169" t="s">
        <v>172</v>
      </c>
      <c r="E884" s="167"/>
      <c r="F884" s="168"/>
      <c r="G884" s="69"/>
      <c r="H884" s="69"/>
      <c r="I884" s="69"/>
      <c r="J884" s="57"/>
      <c r="K884" s="57"/>
      <c r="L884" s="57"/>
      <c r="M884" s="57"/>
      <c r="N884" s="57"/>
      <c r="O884" s="57"/>
      <c r="P884" s="57"/>
      <c r="Q884" s="57"/>
      <c r="R884" s="50"/>
      <c r="S884" s="50"/>
      <c r="T884" s="34"/>
      <c r="V884" s="36"/>
      <c r="W884" s="129"/>
      <c r="AN884" s="107"/>
    </row>
    <row r="885" spans="2:40" s="2" customFormat="1" x14ac:dyDescent="0.15">
      <c r="B885" s="166"/>
      <c r="C885" s="166"/>
      <c r="D885" s="169" t="s">
        <v>169</v>
      </c>
      <c r="E885" s="167"/>
      <c r="F885" s="168"/>
      <c r="G885" s="69"/>
      <c r="H885" s="69"/>
      <c r="I885" s="69"/>
      <c r="J885" s="57"/>
      <c r="K885" s="57"/>
      <c r="L885" s="57"/>
      <c r="M885" s="57"/>
      <c r="N885" s="57"/>
      <c r="O885" s="57"/>
      <c r="P885" s="57"/>
      <c r="Q885" s="57"/>
      <c r="R885" s="50"/>
      <c r="S885" s="50"/>
      <c r="T885" s="34"/>
      <c r="V885" s="164"/>
      <c r="W885" s="129"/>
      <c r="AN885" s="107"/>
    </row>
    <row r="886" spans="2:40" s="2" customFormat="1" x14ac:dyDescent="0.15">
      <c r="B886" s="166"/>
      <c r="C886" s="166" t="s">
        <v>253</v>
      </c>
      <c r="D886" s="169"/>
      <c r="E886" s="167"/>
      <c r="F886" s="168"/>
      <c r="G886" s="69"/>
      <c r="H886" s="69"/>
      <c r="I886" s="69"/>
      <c r="J886" s="57"/>
      <c r="K886" s="57"/>
      <c r="L886" s="57"/>
      <c r="M886" s="57"/>
      <c r="N886" s="57"/>
      <c r="O886" s="57"/>
      <c r="P886" s="57"/>
      <c r="Q886" s="57"/>
      <c r="R886" s="50"/>
      <c r="S886" s="50"/>
      <c r="T886" s="34"/>
      <c r="V886" s="36"/>
      <c r="W886" s="129"/>
      <c r="AN886" s="107"/>
    </row>
    <row r="887" spans="2:40" s="2" customFormat="1" x14ac:dyDescent="0.15">
      <c r="B887" s="166"/>
      <c r="C887" s="166"/>
      <c r="D887" s="166" t="s">
        <v>170</v>
      </c>
      <c r="E887" s="166"/>
      <c r="F887" s="166"/>
      <c r="AN887" s="107"/>
    </row>
    <row r="888" spans="2:40" s="2" customFormat="1" x14ac:dyDescent="0.15">
      <c r="B888" s="166"/>
      <c r="C888" s="166"/>
      <c r="D888" s="169" t="s">
        <v>275</v>
      </c>
      <c r="E888" s="167"/>
      <c r="F888" s="168"/>
      <c r="G888" s="69"/>
      <c r="H888" s="69"/>
      <c r="I888" s="69"/>
      <c r="J888" s="57"/>
      <c r="K888" s="57"/>
      <c r="L888" s="57"/>
      <c r="M888" s="57"/>
      <c r="N888" s="57"/>
      <c r="O888" s="57"/>
      <c r="P888" s="57"/>
      <c r="Q888" s="57"/>
      <c r="R888" s="50"/>
      <c r="S888" s="50"/>
      <c r="V888" s="36"/>
      <c r="W888" s="129"/>
      <c r="AN888" s="107"/>
    </row>
    <row r="889" spans="2:40" s="2" customFormat="1" x14ac:dyDescent="0.15">
      <c r="B889" s="166"/>
      <c r="C889" s="166" t="s">
        <v>254</v>
      </c>
      <c r="D889" s="169"/>
      <c r="E889" s="167"/>
      <c r="F889" s="168"/>
      <c r="G889" s="69"/>
      <c r="H889" s="69"/>
      <c r="I889" s="69"/>
      <c r="J889" s="57"/>
      <c r="K889" s="57"/>
      <c r="L889" s="57"/>
      <c r="M889" s="57"/>
      <c r="N889" s="57"/>
      <c r="O889" s="57"/>
      <c r="P889" s="57"/>
      <c r="Q889" s="57"/>
      <c r="R889" s="50"/>
      <c r="S889" s="50"/>
      <c r="V889" s="36"/>
      <c r="W889" s="129"/>
      <c r="AN889" s="107"/>
    </row>
    <row r="890" spans="2:40" s="2" customFormat="1" x14ac:dyDescent="0.15">
      <c r="B890" s="166"/>
      <c r="C890" s="166"/>
      <c r="D890" s="169" t="s">
        <v>271</v>
      </c>
      <c r="E890" s="167"/>
      <c r="F890" s="168"/>
      <c r="G890" s="69"/>
      <c r="H890" s="69"/>
      <c r="I890" s="69"/>
      <c r="J890" s="57"/>
      <c r="K890" s="57"/>
      <c r="L890" s="57"/>
      <c r="M890" s="57"/>
      <c r="N890" s="57"/>
      <c r="O890" s="57"/>
      <c r="P890" s="57"/>
      <c r="Q890" s="57"/>
      <c r="R890" s="50"/>
      <c r="S890" s="50"/>
      <c r="V890" s="36"/>
      <c r="W890" s="129"/>
      <c r="AN890" s="107"/>
    </row>
    <row r="891" spans="2:40" s="2" customFormat="1" x14ac:dyDescent="0.15">
      <c r="B891" s="166"/>
      <c r="C891" s="166"/>
      <c r="D891" s="169" t="s">
        <v>280</v>
      </c>
      <c r="E891" s="167"/>
      <c r="F891" s="168"/>
      <c r="G891" s="69"/>
      <c r="H891" s="69"/>
      <c r="I891" s="69"/>
      <c r="J891" s="57"/>
      <c r="K891" s="57"/>
      <c r="L891" s="57"/>
      <c r="M891" s="57"/>
      <c r="N891" s="57"/>
      <c r="O891" s="57"/>
      <c r="P891" s="57"/>
      <c r="Q891" s="57"/>
      <c r="R891" s="50"/>
      <c r="S891" s="50"/>
      <c r="V891" s="164"/>
      <c r="W891" s="129"/>
      <c r="AN891" s="107"/>
    </row>
    <row r="892" spans="2:40" s="2" customFormat="1" x14ac:dyDescent="0.15">
      <c r="B892" s="166"/>
      <c r="C892" s="166" t="s">
        <v>255</v>
      </c>
      <c r="D892" s="169"/>
      <c r="E892" s="167"/>
      <c r="F892" s="168"/>
      <c r="G892" s="69"/>
      <c r="H892" s="69"/>
      <c r="I892" s="69"/>
      <c r="J892" s="57"/>
      <c r="K892" s="57"/>
      <c r="L892" s="57"/>
      <c r="M892" s="57"/>
      <c r="N892" s="57"/>
      <c r="O892" s="57"/>
      <c r="P892" s="57"/>
      <c r="Q892" s="57"/>
      <c r="R892" s="50"/>
      <c r="S892" s="50"/>
      <c r="V892" s="36"/>
      <c r="W892" s="129"/>
      <c r="AN892" s="107"/>
    </row>
    <row r="893" spans="2:40" s="2" customFormat="1" x14ac:dyDescent="0.15">
      <c r="B893" s="166"/>
      <c r="C893" s="166"/>
      <c r="D893" s="169" t="s">
        <v>276</v>
      </c>
      <c r="E893" s="167"/>
      <c r="F893" s="168"/>
      <c r="G893" s="69"/>
      <c r="H893" s="69"/>
      <c r="I893" s="69"/>
      <c r="J893" s="57"/>
      <c r="K893" s="57"/>
      <c r="L893" s="57"/>
      <c r="M893" s="57"/>
      <c r="N893" s="57"/>
      <c r="O893" s="57"/>
      <c r="P893" s="57"/>
      <c r="Q893" s="57"/>
      <c r="R893" s="50"/>
      <c r="S893" s="50"/>
      <c r="V893" s="36"/>
      <c r="W893" s="129"/>
      <c r="AN893" s="107"/>
    </row>
    <row r="894" spans="2:40" s="2" customFormat="1" x14ac:dyDescent="0.15">
      <c r="B894" s="166"/>
      <c r="C894" s="166"/>
      <c r="D894" s="169"/>
      <c r="E894" s="167"/>
      <c r="F894" s="168"/>
      <c r="G894" s="69"/>
      <c r="H894" s="69"/>
      <c r="I894" s="69"/>
      <c r="J894" s="57"/>
      <c r="K894" s="57"/>
      <c r="L894" s="57"/>
      <c r="M894" s="57"/>
      <c r="N894" s="57"/>
      <c r="O894" s="57"/>
      <c r="P894" s="57"/>
      <c r="Q894" s="57"/>
      <c r="R894" s="50"/>
      <c r="S894" s="50"/>
      <c r="V894" s="36"/>
      <c r="W894" s="129"/>
      <c r="AN894" s="107"/>
    </row>
    <row r="895" spans="2:40" s="2" customFormat="1" x14ac:dyDescent="0.15">
      <c r="B895" s="166"/>
      <c r="C895" s="166" t="s">
        <v>171</v>
      </c>
      <c r="D895" s="169"/>
      <c r="E895" s="167"/>
      <c r="F895" s="168"/>
      <c r="G895" s="69"/>
      <c r="H895" s="69"/>
      <c r="I895" s="69"/>
      <c r="J895" s="57"/>
      <c r="K895" s="57"/>
      <c r="L895" s="57"/>
      <c r="M895" s="57"/>
      <c r="N895" s="57"/>
      <c r="O895" s="57"/>
      <c r="P895" s="57"/>
      <c r="Q895" s="57"/>
      <c r="R895" s="50"/>
      <c r="S895" s="50"/>
      <c r="V895" s="36"/>
      <c r="W895" s="129"/>
      <c r="AN895" s="107"/>
    </row>
    <row r="896" spans="2:40" s="2" customFormat="1" x14ac:dyDescent="0.15">
      <c r="B896" s="166"/>
      <c r="C896" s="166"/>
      <c r="D896" s="170" t="s">
        <v>277</v>
      </c>
      <c r="E896" s="167"/>
      <c r="F896" s="168"/>
      <c r="G896" s="69"/>
      <c r="H896" s="69"/>
      <c r="I896" s="69"/>
      <c r="J896" s="57"/>
      <c r="K896" s="57"/>
      <c r="L896" s="57"/>
      <c r="M896" s="57"/>
      <c r="N896" s="57"/>
      <c r="O896" s="57"/>
      <c r="P896" s="57"/>
      <c r="Q896" s="57"/>
      <c r="R896" s="50"/>
      <c r="S896" s="50"/>
      <c r="V896" s="130"/>
      <c r="W896" s="129"/>
      <c r="AN896" s="107"/>
    </row>
    <row r="897" spans="2:58" s="2" customFormat="1" x14ac:dyDescent="0.15">
      <c r="B897" s="166"/>
      <c r="C897" s="166"/>
      <c r="D897" s="169" t="s">
        <v>272</v>
      </c>
      <c r="E897" s="167"/>
      <c r="F897" s="168"/>
      <c r="G897" s="69"/>
      <c r="H897" s="69"/>
      <c r="I897" s="69"/>
      <c r="J897" s="57"/>
      <c r="K897" s="57"/>
      <c r="L897" s="57"/>
      <c r="M897" s="57"/>
      <c r="N897" s="57"/>
      <c r="O897" s="57"/>
      <c r="P897" s="57"/>
      <c r="Q897" s="57"/>
      <c r="R897" s="50"/>
      <c r="S897" s="50"/>
      <c r="V897" s="36"/>
      <c r="W897" s="129"/>
      <c r="AN897" s="107"/>
    </row>
    <row r="898" spans="2:58" x14ac:dyDescent="0.15">
      <c r="B898" s="1"/>
      <c r="C898" s="1"/>
      <c r="D898" s="1"/>
      <c r="N898" s="1"/>
      <c r="O898" s="1"/>
      <c r="P898" s="1"/>
      <c r="Q898" s="1"/>
      <c r="R898" s="1"/>
      <c r="S898" s="1"/>
      <c r="U898" s="35"/>
      <c r="W898" s="3"/>
      <c r="X898" s="2"/>
      <c r="Y898" s="5"/>
      <c r="Z898" s="5"/>
      <c r="AA898" s="5"/>
      <c r="AB898" s="284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2"/>
      <c r="AN898" s="1"/>
      <c r="BF898" s="7"/>
    </row>
    <row r="899" spans="2:58" x14ac:dyDescent="0.15">
      <c r="B899" s="1"/>
      <c r="C899" s="1"/>
      <c r="D899" s="1"/>
      <c r="N899" s="1"/>
      <c r="O899" s="1"/>
      <c r="P899" s="1"/>
      <c r="Q899" s="1"/>
      <c r="R899" s="1"/>
      <c r="S899" s="1"/>
      <c r="U899" s="35"/>
      <c r="W899" s="2"/>
      <c r="X899" s="2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11"/>
      <c r="AN899" s="2"/>
      <c r="AO899" s="2"/>
      <c r="BF899" s="7"/>
    </row>
    <row r="900" spans="2:58" x14ac:dyDescent="0.15">
      <c r="B900" s="1"/>
      <c r="C900" s="1"/>
      <c r="D900" s="1"/>
      <c r="N900" s="1"/>
      <c r="O900" s="1"/>
      <c r="P900" s="1"/>
      <c r="Q900" s="1"/>
      <c r="R900" s="1"/>
      <c r="S900" s="1"/>
      <c r="T900" s="2"/>
      <c r="U900" s="35"/>
      <c r="W900" s="2"/>
      <c r="X900" s="2"/>
      <c r="Y900" s="36"/>
      <c r="Z900" s="36"/>
      <c r="AA900" s="173"/>
      <c r="AB900" s="172"/>
      <c r="AC900" s="172"/>
      <c r="AD900" s="172"/>
      <c r="AE900" s="173"/>
      <c r="AF900" s="172"/>
      <c r="AG900" s="172"/>
      <c r="AH900" s="172"/>
      <c r="AI900" s="173"/>
      <c r="AJ900" s="172"/>
      <c r="AK900" s="172"/>
      <c r="AL900" s="172"/>
      <c r="AM900" s="16"/>
      <c r="AN900" s="2"/>
      <c r="AO900" s="2"/>
      <c r="BF900" s="7"/>
    </row>
    <row r="901" spans="2:58" x14ac:dyDescent="0.15">
      <c r="B901" s="1"/>
      <c r="C901" s="1"/>
      <c r="D901" s="1"/>
      <c r="N901" s="1"/>
      <c r="O901" s="1"/>
      <c r="P901" s="1"/>
      <c r="Q901" s="1"/>
      <c r="R901" s="1"/>
      <c r="S901" s="1"/>
      <c r="T901" s="2"/>
      <c r="U901" s="35"/>
      <c r="W901" s="2"/>
      <c r="X901" s="2"/>
      <c r="Y901" s="36"/>
      <c r="Z901" s="36"/>
      <c r="AA901" s="99"/>
      <c r="AB901" s="99"/>
      <c r="AC901" s="99"/>
      <c r="AD901" s="99"/>
      <c r="AE901" s="99"/>
      <c r="AF901" s="99"/>
      <c r="AG901" s="99"/>
      <c r="AH901" s="99"/>
      <c r="AI901" s="5"/>
      <c r="AJ901" s="99"/>
      <c r="AK901" s="99"/>
      <c r="AL901" s="99"/>
      <c r="AM901" s="2"/>
      <c r="AN901" s="2"/>
      <c r="AO901" s="2"/>
      <c r="BF901" s="7"/>
    </row>
    <row r="902" spans="2:58" x14ac:dyDescent="0.15">
      <c r="B902" s="1"/>
      <c r="C902" s="1"/>
      <c r="D902" s="1"/>
      <c r="N902" s="1"/>
      <c r="O902" s="1"/>
      <c r="P902" s="1"/>
      <c r="Q902" s="1"/>
      <c r="R902" s="1"/>
      <c r="S902" s="1"/>
      <c r="T902" s="2"/>
      <c r="W902" s="2"/>
      <c r="X902" s="2"/>
      <c r="Y902" s="36"/>
      <c r="Z902" s="36"/>
      <c r="AA902" s="57"/>
      <c r="AB902" s="57"/>
      <c r="AC902" s="57"/>
      <c r="AD902" s="57"/>
      <c r="AE902" s="57"/>
      <c r="AF902" s="57"/>
      <c r="AG902" s="57"/>
      <c r="AH902" s="57"/>
      <c r="AI902" s="57"/>
      <c r="AJ902" s="57"/>
      <c r="AK902" s="57"/>
      <c r="AL902" s="57"/>
      <c r="AM902" s="38"/>
      <c r="AN902" s="2"/>
      <c r="AO902" s="2"/>
      <c r="BF902" s="7"/>
    </row>
    <row r="903" spans="2:58" x14ac:dyDescent="0.15">
      <c r="B903" s="1"/>
      <c r="C903" s="1"/>
      <c r="D903" s="1"/>
      <c r="N903" s="1"/>
      <c r="O903" s="1"/>
      <c r="P903" s="1"/>
      <c r="Q903" s="1"/>
      <c r="R903" s="1"/>
      <c r="S903" s="1"/>
      <c r="T903" s="2"/>
      <c r="W903" s="2"/>
      <c r="X903" s="2"/>
      <c r="Y903" s="36"/>
      <c r="Z903" s="36"/>
      <c r="AA903" s="99"/>
      <c r="AB903" s="99"/>
      <c r="AC903" s="99"/>
      <c r="AD903" s="99"/>
      <c r="AE903" s="99"/>
      <c r="AF903" s="99"/>
      <c r="AG903" s="99"/>
      <c r="AH903" s="99"/>
      <c r="AI903" s="5"/>
      <c r="AJ903" s="99"/>
      <c r="AK903" s="99"/>
      <c r="AL903" s="99"/>
      <c r="AM903" s="2"/>
      <c r="AN903" s="2"/>
      <c r="AO903" s="2"/>
      <c r="BF903" s="7"/>
    </row>
    <row r="904" spans="2:58" x14ac:dyDescent="0.15">
      <c r="B904" s="1"/>
      <c r="C904" s="1"/>
      <c r="D904" s="1"/>
      <c r="N904" s="1"/>
      <c r="O904" s="1"/>
      <c r="P904" s="1"/>
      <c r="Q904" s="1"/>
      <c r="R904" s="1"/>
      <c r="S904" s="1"/>
      <c r="T904" s="2"/>
      <c r="W904" s="2"/>
      <c r="X904" s="2"/>
      <c r="Y904" s="36"/>
      <c r="Z904" s="36"/>
      <c r="AA904" s="57"/>
      <c r="AB904" s="57"/>
      <c r="AC904" s="57"/>
      <c r="AD904" s="57"/>
      <c r="AE904" s="57"/>
      <c r="AF904" s="57"/>
      <c r="AG904" s="57"/>
      <c r="AH904" s="57"/>
      <c r="AI904" s="57"/>
      <c r="AJ904" s="57"/>
      <c r="AK904" s="57"/>
      <c r="AL904" s="57"/>
      <c r="AM904" s="38"/>
      <c r="AN904" s="2"/>
      <c r="AO904" s="2"/>
      <c r="BF904" s="7"/>
    </row>
    <row r="905" spans="2:58" x14ac:dyDescent="0.15">
      <c r="B905" s="1"/>
      <c r="C905" s="1"/>
      <c r="D905" s="1"/>
      <c r="N905" s="1"/>
      <c r="O905" s="1"/>
      <c r="P905" s="1"/>
      <c r="Q905" s="1"/>
      <c r="R905" s="1"/>
      <c r="S905" s="1"/>
      <c r="W905" s="2"/>
      <c r="X905" s="2"/>
      <c r="Y905" s="36"/>
      <c r="Z905" s="36"/>
      <c r="AA905" s="99"/>
      <c r="AB905" s="99"/>
      <c r="AC905" s="99"/>
      <c r="AD905" s="99"/>
      <c r="AE905" s="99"/>
      <c r="AF905" s="99"/>
      <c r="AG905" s="99"/>
      <c r="AH905" s="99"/>
      <c r="AI905" s="5"/>
      <c r="AJ905" s="99"/>
      <c r="AK905" s="99"/>
      <c r="AL905" s="99"/>
      <c r="AM905" s="2"/>
      <c r="AN905" s="2"/>
      <c r="AO905" s="2"/>
      <c r="BF905" s="7"/>
    </row>
    <row r="906" spans="2:58" x14ac:dyDescent="0.15">
      <c r="B906" s="1"/>
      <c r="C906" s="1"/>
      <c r="D906" s="1"/>
      <c r="N906" s="1"/>
      <c r="O906" s="1"/>
      <c r="P906" s="1"/>
      <c r="Q906" s="1"/>
      <c r="R906" s="1"/>
      <c r="S906" s="1"/>
      <c r="W906" s="2"/>
      <c r="X906" s="2"/>
      <c r="Y906" s="36"/>
      <c r="Z906" s="36"/>
      <c r="AA906" s="57"/>
      <c r="AB906" s="57"/>
      <c r="AC906" s="57"/>
      <c r="AD906" s="57"/>
      <c r="AE906" s="57"/>
      <c r="AF906" s="57"/>
      <c r="AG906" s="57"/>
      <c r="AH906" s="57"/>
      <c r="AI906" s="57"/>
      <c r="AJ906" s="57"/>
      <c r="AK906" s="57"/>
      <c r="AL906" s="57"/>
      <c r="AM906" s="38"/>
      <c r="AN906" s="2"/>
      <c r="AO906" s="2"/>
      <c r="BF906" s="7"/>
    </row>
    <row r="907" spans="2:58" x14ac:dyDescent="0.15">
      <c r="B907" s="1"/>
      <c r="C907" s="1"/>
      <c r="D907" s="1"/>
      <c r="N907" s="1"/>
      <c r="O907" s="1"/>
      <c r="P907" s="1"/>
      <c r="Q907" s="1"/>
      <c r="R907" s="1"/>
      <c r="S907" s="1"/>
      <c r="W907" s="2"/>
      <c r="X907" s="2"/>
      <c r="Y907" s="36"/>
      <c r="Z907" s="36"/>
      <c r="AA907" s="99"/>
      <c r="AB907" s="99"/>
      <c r="AC907" s="99"/>
      <c r="AD907" s="99"/>
      <c r="AE907" s="99"/>
      <c r="AF907" s="99"/>
      <c r="AG907" s="99"/>
      <c r="AH907" s="99"/>
      <c r="AI907" s="5"/>
      <c r="AJ907" s="99"/>
      <c r="AK907" s="99"/>
      <c r="AL907" s="99"/>
      <c r="AM907" s="2"/>
      <c r="AN907" s="2"/>
      <c r="AO907" s="2"/>
      <c r="BF907" s="7"/>
    </row>
    <row r="908" spans="2:58" x14ac:dyDescent="0.15">
      <c r="B908" s="1"/>
      <c r="C908" s="1"/>
      <c r="D908" s="1"/>
      <c r="N908" s="1"/>
      <c r="O908" s="1"/>
      <c r="P908" s="1"/>
      <c r="Q908" s="1"/>
      <c r="R908" s="1"/>
      <c r="S908" s="1"/>
      <c r="T908" s="2"/>
      <c r="W908" s="2"/>
      <c r="X908" s="2"/>
      <c r="Y908" s="36"/>
      <c r="Z908" s="36"/>
      <c r="AA908" s="57"/>
      <c r="AB908" s="57"/>
      <c r="AC908" s="57"/>
      <c r="AD908" s="57"/>
      <c r="AE908" s="57"/>
      <c r="AF908" s="57"/>
      <c r="AG908" s="57"/>
      <c r="AH908" s="57"/>
      <c r="AI908" s="57"/>
      <c r="AJ908" s="57"/>
      <c r="AK908" s="57"/>
      <c r="AL908" s="57"/>
      <c r="AM908" s="38"/>
      <c r="AN908" s="2"/>
      <c r="AO908" s="2"/>
      <c r="BF908" s="7"/>
    </row>
    <row r="909" spans="2:58" x14ac:dyDescent="0.15">
      <c r="B909" s="1"/>
      <c r="C909" s="1"/>
      <c r="D909" s="1"/>
      <c r="N909" s="1"/>
      <c r="O909" s="1"/>
      <c r="P909" s="1"/>
      <c r="Q909" s="1"/>
      <c r="R909" s="1"/>
      <c r="S909" s="1"/>
      <c r="T909" s="2"/>
      <c r="W909" s="2"/>
      <c r="X909" s="2"/>
      <c r="Y909" s="36"/>
      <c r="Z909" s="36"/>
      <c r="AA909" s="99"/>
      <c r="AB909" s="99"/>
      <c r="AC909" s="99"/>
      <c r="AD909" s="99"/>
      <c r="AE909" s="99"/>
      <c r="AF909" s="99"/>
      <c r="AG909" s="99"/>
      <c r="AH909" s="99"/>
      <c r="AI909" s="5"/>
      <c r="AJ909" s="99"/>
      <c r="AK909" s="99"/>
      <c r="AL909" s="99"/>
      <c r="AM909" s="2"/>
      <c r="AN909" s="2"/>
      <c r="AO909" s="2"/>
      <c r="BF909" s="7"/>
    </row>
    <row r="910" spans="2:58" x14ac:dyDescent="0.15">
      <c r="B910" s="1"/>
      <c r="C910" s="1"/>
      <c r="D910" s="1"/>
      <c r="N910" s="1"/>
      <c r="O910" s="1"/>
      <c r="P910" s="1"/>
      <c r="Q910" s="1"/>
      <c r="R910" s="1"/>
      <c r="S910" s="1"/>
      <c r="T910" s="2"/>
      <c r="W910" s="2"/>
      <c r="X910" s="2"/>
      <c r="Y910" s="36"/>
      <c r="Z910" s="36"/>
      <c r="AA910" s="57"/>
      <c r="AB910" s="57"/>
      <c r="AC910" s="57"/>
      <c r="AD910" s="57"/>
      <c r="AE910" s="57"/>
      <c r="AF910" s="57"/>
      <c r="AG910" s="57"/>
      <c r="AH910" s="57"/>
      <c r="AI910" s="57"/>
      <c r="AJ910" s="57"/>
      <c r="AK910" s="57"/>
      <c r="AL910" s="57"/>
      <c r="AM910" s="38"/>
      <c r="AN910" s="2"/>
      <c r="AO910" s="2"/>
      <c r="BF910" s="7"/>
    </row>
    <row r="911" spans="2:58" x14ac:dyDescent="0.15">
      <c r="B911" s="1"/>
      <c r="C911" s="1"/>
      <c r="D911" s="1"/>
      <c r="N911" s="1"/>
      <c r="O911" s="1"/>
      <c r="P911" s="1"/>
      <c r="Q911" s="1"/>
      <c r="R911" s="1"/>
      <c r="S911" s="1"/>
      <c r="T911" s="2"/>
      <c r="V911" s="2"/>
      <c r="W911" s="2"/>
      <c r="X911" s="2"/>
      <c r="Y911" s="36"/>
      <c r="Z911" s="36"/>
      <c r="AA911" s="99"/>
      <c r="AB911" s="99"/>
      <c r="AC911" s="99"/>
      <c r="AD911" s="99"/>
      <c r="AE911" s="99"/>
      <c r="AF911" s="99"/>
      <c r="AG911" s="99"/>
      <c r="AH911" s="99"/>
      <c r="AI911" s="5"/>
      <c r="AJ911" s="99"/>
      <c r="AK911" s="99"/>
      <c r="AL911" s="99"/>
      <c r="AM911" s="2"/>
      <c r="AN911" s="2"/>
      <c r="AO911" s="2"/>
      <c r="BF911" s="7"/>
    </row>
    <row r="912" spans="2:58" x14ac:dyDescent="0.15">
      <c r="B912" s="1"/>
      <c r="C912" s="1"/>
      <c r="D912" s="1"/>
      <c r="N912" s="1"/>
      <c r="O912" s="1"/>
      <c r="P912" s="1"/>
      <c r="Q912" s="1"/>
      <c r="R912" s="1"/>
      <c r="S912" s="1"/>
      <c r="T912" s="2"/>
      <c r="V912" s="2"/>
      <c r="W912" s="2"/>
      <c r="X912" s="2"/>
      <c r="Y912" s="36"/>
      <c r="Z912" s="36"/>
      <c r="AA912" s="57"/>
      <c r="AB912" s="57"/>
      <c r="AC912" s="57"/>
      <c r="AD912" s="57"/>
      <c r="AE912" s="57"/>
      <c r="AF912" s="57"/>
      <c r="AG912" s="57"/>
      <c r="AH912" s="57"/>
      <c r="AI912" s="57"/>
      <c r="AJ912" s="57"/>
      <c r="AK912" s="57"/>
      <c r="AL912" s="57"/>
      <c r="AM912" s="38"/>
      <c r="AN912" s="2"/>
      <c r="AO912" s="2"/>
      <c r="BF912" s="7"/>
    </row>
    <row r="913" spans="2:58" x14ac:dyDescent="0.15">
      <c r="B913" s="1"/>
      <c r="C913" s="1"/>
      <c r="D913" s="1"/>
      <c r="N913" s="1"/>
      <c r="O913" s="1"/>
      <c r="P913" s="1"/>
      <c r="Q913" s="1"/>
      <c r="R913" s="1"/>
      <c r="S913" s="1"/>
      <c r="T913" s="2"/>
      <c r="V913" s="2"/>
      <c r="W913" s="2"/>
      <c r="X913" s="2"/>
      <c r="Y913" s="36"/>
      <c r="Z913" s="36"/>
      <c r="AA913" s="99"/>
      <c r="AB913" s="99"/>
      <c r="AC913" s="99"/>
      <c r="AD913" s="99"/>
      <c r="AE913" s="5"/>
      <c r="AF913" s="5"/>
      <c r="AG913" s="5"/>
      <c r="AH913" s="5"/>
      <c r="AI913" s="5"/>
      <c r="AJ913" s="5"/>
      <c r="AK913" s="5"/>
      <c r="AL913" s="5"/>
      <c r="AM913" s="2"/>
      <c r="AN913" s="2"/>
      <c r="AO913" s="2"/>
      <c r="BF913" s="7"/>
    </row>
    <row r="914" spans="2:58" x14ac:dyDescent="0.15">
      <c r="B914" s="1"/>
      <c r="C914" s="1"/>
      <c r="D914" s="1"/>
      <c r="N914" s="1"/>
      <c r="O914" s="1"/>
      <c r="P914" s="1"/>
      <c r="Q914" s="1"/>
      <c r="R914" s="1"/>
      <c r="S914" s="1"/>
      <c r="T914" s="2"/>
      <c r="V914" s="2"/>
      <c r="W914" s="2"/>
      <c r="X914" s="2"/>
      <c r="Y914" s="36"/>
      <c r="Z914" s="36"/>
      <c r="AA914" s="69"/>
      <c r="AB914" s="69"/>
      <c r="AC914" s="69"/>
      <c r="AD914" s="69"/>
      <c r="AE914" s="57"/>
      <c r="AF914" s="57"/>
      <c r="AG914" s="57"/>
      <c r="AH914" s="57"/>
      <c r="AI914" s="57"/>
      <c r="AJ914" s="57"/>
      <c r="AK914" s="57"/>
      <c r="AL914" s="57"/>
      <c r="AM914" s="50"/>
      <c r="AN914" s="34"/>
      <c r="AO914" s="2"/>
      <c r="BF914" s="7"/>
    </row>
    <row r="915" spans="2:58" x14ac:dyDescent="0.15">
      <c r="B915" s="1"/>
      <c r="C915" s="1"/>
      <c r="D915" s="1"/>
      <c r="N915" s="1"/>
      <c r="O915" s="1"/>
      <c r="P915" s="1"/>
      <c r="Q915" s="1"/>
      <c r="R915" s="1"/>
      <c r="S915" s="1"/>
      <c r="T915" s="2"/>
      <c r="U915" s="12"/>
      <c r="V915" s="2"/>
      <c r="W915" s="2"/>
      <c r="X915" s="2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N915" s="1"/>
      <c r="BE915" s="7"/>
    </row>
    <row r="916" spans="2:58" x14ac:dyDescent="0.15">
      <c r="B916" s="286"/>
      <c r="C916" s="286"/>
      <c r="D916" s="286"/>
      <c r="E916" s="286"/>
      <c r="F916" s="286"/>
      <c r="G916" s="286"/>
      <c r="H916" s="286"/>
      <c r="I916" s="286"/>
      <c r="J916" s="286"/>
      <c r="K916" s="286"/>
      <c r="L916" s="286"/>
      <c r="M916" s="286"/>
      <c r="N916" s="286"/>
      <c r="O916" s="286"/>
      <c r="P916" s="286"/>
      <c r="Q916" s="286"/>
      <c r="R916" s="5"/>
      <c r="T916" s="2"/>
      <c r="U916" s="12"/>
      <c r="Y916" s="151"/>
      <c r="Z916" s="151"/>
      <c r="AA916" s="151"/>
      <c r="AB916" s="151"/>
      <c r="AC916" s="151"/>
      <c r="AD916" s="151"/>
      <c r="AE916" s="151"/>
      <c r="AF916" s="151"/>
      <c r="AG916" s="151"/>
      <c r="AH916" s="151"/>
      <c r="AI916" s="151"/>
      <c r="AJ916" s="151"/>
      <c r="AK916" s="151"/>
      <c r="AL916" s="151"/>
    </row>
    <row r="917" spans="2:58" x14ac:dyDescent="0.15"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T917" s="2"/>
      <c r="U917" s="12"/>
      <c r="Y917" s="151"/>
      <c r="Z917" s="151"/>
      <c r="AA917" s="151"/>
      <c r="AB917" s="151"/>
      <c r="AC917" s="151"/>
      <c r="AD917" s="151"/>
      <c r="AE917" s="151"/>
      <c r="AF917" s="151"/>
      <c r="AG917" s="151"/>
      <c r="AH917" s="151"/>
      <c r="AI917" s="151"/>
      <c r="AJ917" s="151"/>
      <c r="AK917" s="151"/>
      <c r="AL917" s="151"/>
    </row>
    <row r="918" spans="2:58" x14ac:dyDescent="0.15">
      <c r="B918" s="106"/>
      <c r="C918" s="5"/>
      <c r="D918" s="5"/>
      <c r="E918" s="5"/>
      <c r="F918" s="5"/>
      <c r="G918" s="284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T918" s="2"/>
      <c r="U918" s="12"/>
    </row>
    <row r="919" spans="2:58" x14ac:dyDescent="0.15">
      <c r="B919" s="5"/>
      <c r="C919" s="5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173"/>
      <c r="S919" s="11"/>
      <c r="T919" s="2"/>
      <c r="U919" s="12"/>
      <c r="V919" s="2"/>
      <c r="W919" s="2"/>
    </row>
    <row r="920" spans="2:58" x14ac:dyDescent="0.15">
      <c r="B920" s="5"/>
      <c r="C920" s="5"/>
      <c r="D920" s="36"/>
      <c r="E920" s="36"/>
      <c r="F920" s="173"/>
      <c r="G920" s="172"/>
      <c r="H920" s="172"/>
      <c r="I920" s="172"/>
      <c r="J920" s="173"/>
      <c r="K920" s="172"/>
      <c r="L920" s="172"/>
      <c r="M920" s="172"/>
      <c r="N920" s="173"/>
      <c r="O920" s="172"/>
      <c r="P920" s="172"/>
      <c r="Q920" s="172"/>
      <c r="R920" s="118"/>
      <c r="S920" s="16"/>
      <c r="T920" s="2"/>
      <c r="V920" s="2"/>
      <c r="W920" s="2"/>
    </row>
    <row r="921" spans="2:58" x14ac:dyDescent="0.15">
      <c r="B921" s="5"/>
      <c r="C921" s="5"/>
      <c r="D921" s="287"/>
      <c r="E921" s="287"/>
      <c r="F921" s="99"/>
      <c r="G921" s="99"/>
      <c r="H921" s="99"/>
      <c r="I921" s="99"/>
      <c r="J921" s="5"/>
      <c r="K921" s="99"/>
      <c r="L921" s="99"/>
      <c r="M921" s="99"/>
      <c r="N921" s="5"/>
      <c r="O921" s="99"/>
      <c r="P921" s="99"/>
      <c r="Q921" s="99"/>
      <c r="R921" s="5"/>
      <c r="T921" s="2"/>
      <c r="V921" s="2"/>
      <c r="W921" s="2"/>
    </row>
    <row r="922" spans="2:58" x14ac:dyDescent="0.15">
      <c r="B922" s="5"/>
      <c r="C922" s="5"/>
      <c r="D922" s="287"/>
      <c r="E922" s="28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38"/>
      <c r="T922" s="34"/>
      <c r="V922" s="2"/>
      <c r="W922" s="2"/>
    </row>
    <row r="923" spans="2:58" x14ac:dyDescent="0.15">
      <c r="B923" s="5"/>
      <c r="C923" s="5"/>
      <c r="D923" s="287"/>
      <c r="E923" s="287"/>
      <c r="F923" s="99"/>
      <c r="G923" s="99"/>
      <c r="H923" s="99"/>
      <c r="I923" s="99"/>
      <c r="J923" s="5"/>
      <c r="K923" s="99"/>
      <c r="L923" s="99"/>
      <c r="M923" s="99"/>
      <c r="N923" s="5"/>
      <c r="O923" s="99"/>
      <c r="P923" s="99"/>
      <c r="Q923" s="99"/>
      <c r="R923" s="5"/>
      <c r="U923" s="12"/>
      <c r="V923" s="2"/>
      <c r="W923" s="2"/>
    </row>
    <row r="924" spans="2:58" x14ac:dyDescent="0.15">
      <c r="B924" s="5"/>
      <c r="C924" s="5"/>
      <c r="D924" s="287"/>
      <c r="E924" s="28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38"/>
      <c r="U924" s="12"/>
      <c r="V924" s="2"/>
      <c r="W924" s="2"/>
    </row>
    <row r="925" spans="2:58" x14ac:dyDescent="0.15">
      <c r="B925" s="5"/>
      <c r="C925" s="5"/>
      <c r="D925" s="287"/>
      <c r="E925" s="287"/>
      <c r="F925" s="99"/>
      <c r="G925" s="99"/>
      <c r="H925" s="99"/>
      <c r="I925" s="99"/>
      <c r="J925" s="5"/>
      <c r="K925" s="99"/>
      <c r="L925" s="99"/>
      <c r="M925" s="99"/>
      <c r="N925" s="5"/>
      <c r="O925" s="99"/>
      <c r="P925" s="99"/>
      <c r="Q925" s="99"/>
      <c r="R925" s="5"/>
      <c r="U925" s="12"/>
      <c r="V925" s="2"/>
      <c r="W925" s="2"/>
    </row>
    <row r="926" spans="2:58" x14ac:dyDescent="0.15">
      <c r="B926" s="5"/>
      <c r="C926" s="5"/>
      <c r="D926" s="287"/>
      <c r="E926" s="28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38"/>
      <c r="U926" s="12"/>
      <c r="V926" s="2"/>
      <c r="W926" s="2"/>
    </row>
    <row r="927" spans="2:58" x14ac:dyDescent="0.15">
      <c r="B927" s="5"/>
      <c r="C927" s="5"/>
      <c r="D927" s="287"/>
      <c r="E927" s="287"/>
      <c r="F927" s="99"/>
      <c r="G927" s="99"/>
      <c r="H927" s="99"/>
      <c r="I927" s="99"/>
      <c r="J927" s="5"/>
      <c r="K927" s="99"/>
      <c r="L927" s="99"/>
      <c r="M927" s="99"/>
      <c r="N927" s="5"/>
      <c r="O927" s="99"/>
      <c r="P927" s="99"/>
      <c r="Q927" s="99"/>
      <c r="R927" s="5"/>
      <c r="T927" s="2"/>
      <c r="U927" s="12"/>
      <c r="V927" s="2"/>
      <c r="W927" s="2"/>
    </row>
    <row r="928" spans="2:58" x14ac:dyDescent="0.15">
      <c r="B928" s="5"/>
      <c r="C928" s="5"/>
      <c r="D928" s="287"/>
      <c r="E928" s="28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38"/>
      <c r="T928" s="2"/>
      <c r="U928" s="12"/>
      <c r="V928" s="2"/>
      <c r="W928" s="2"/>
    </row>
    <row r="929" spans="2:23" x14ac:dyDescent="0.15">
      <c r="B929" s="5"/>
      <c r="C929" s="5"/>
      <c r="D929" s="287"/>
      <c r="E929" s="287"/>
      <c r="F929" s="99"/>
      <c r="G929" s="99"/>
      <c r="H929" s="99"/>
      <c r="I929" s="99"/>
      <c r="J929" s="5"/>
      <c r="K929" s="99"/>
      <c r="L929" s="99"/>
      <c r="M929" s="99"/>
      <c r="N929" s="5"/>
      <c r="O929" s="99"/>
      <c r="P929" s="99"/>
      <c r="Q929" s="99"/>
      <c r="R929" s="5"/>
      <c r="T929" s="2"/>
      <c r="U929" s="12"/>
      <c r="V929" s="2"/>
      <c r="W929" s="2"/>
    </row>
    <row r="930" spans="2:23" x14ac:dyDescent="0.15">
      <c r="B930" s="5"/>
      <c r="C930" s="5"/>
      <c r="D930" s="287"/>
      <c r="E930" s="28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38"/>
      <c r="T930" s="2"/>
      <c r="U930" s="12"/>
      <c r="V930" s="2"/>
      <c r="W930" s="2"/>
    </row>
    <row r="931" spans="2:23" x14ac:dyDescent="0.15">
      <c r="B931" s="5"/>
      <c r="C931" s="5"/>
      <c r="D931" s="36"/>
      <c r="E931" s="36"/>
      <c r="F931" s="288"/>
      <c r="G931" s="289"/>
      <c r="H931" s="289"/>
      <c r="I931" s="289"/>
      <c r="J931" s="288"/>
      <c r="K931" s="289"/>
      <c r="L931" s="289"/>
      <c r="M931" s="289"/>
      <c r="N931" s="288"/>
      <c r="O931" s="289"/>
      <c r="P931" s="289"/>
      <c r="Q931" s="289"/>
      <c r="R931" s="288"/>
      <c r="S931" s="105"/>
      <c r="T931" s="2"/>
      <c r="U931" s="12"/>
      <c r="V931" s="2"/>
      <c r="W931" s="2"/>
    </row>
    <row r="932" spans="2:23" x14ac:dyDescent="0.15">
      <c r="B932" s="5"/>
      <c r="C932" s="5"/>
      <c r="D932" s="36"/>
      <c r="E932" s="36"/>
      <c r="F932" s="99"/>
      <c r="G932" s="99"/>
      <c r="H932" s="99"/>
      <c r="I932" s="99"/>
      <c r="J932" s="5"/>
      <c r="K932" s="5"/>
      <c r="L932" s="5"/>
      <c r="M932" s="5"/>
      <c r="N932" s="5"/>
      <c r="O932" s="5"/>
      <c r="P932" s="5"/>
      <c r="Q932" s="5"/>
      <c r="R932" s="5"/>
      <c r="T932" s="2"/>
      <c r="U932" s="12"/>
      <c r="V932" s="2"/>
      <c r="W932" s="2"/>
    </row>
    <row r="933" spans="2:23" x14ac:dyDescent="0.15">
      <c r="B933" s="5"/>
      <c r="C933" s="5"/>
      <c r="D933" s="36"/>
      <c r="E933" s="36"/>
      <c r="F933" s="74"/>
      <c r="G933" s="74"/>
      <c r="H933" s="74"/>
      <c r="I933" s="74"/>
      <c r="J933" s="57"/>
      <c r="K933" s="57"/>
      <c r="L933" s="57"/>
      <c r="M933" s="57"/>
      <c r="N933" s="57"/>
      <c r="O933" s="57"/>
      <c r="P933" s="57"/>
      <c r="Q933" s="57"/>
      <c r="R933" s="69"/>
      <c r="S933" s="50"/>
      <c r="T933" s="2"/>
      <c r="U933" s="12"/>
      <c r="V933" s="34"/>
      <c r="W933" s="2"/>
    </row>
    <row r="934" spans="2:23" x14ac:dyDescent="0.15">
      <c r="B934" s="5"/>
      <c r="C934" s="5"/>
      <c r="D934" s="173"/>
      <c r="E934" s="173"/>
      <c r="F934" s="69"/>
      <c r="G934" s="69"/>
      <c r="H934" s="69"/>
      <c r="I934" s="69"/>
      <c r="J934" s="69"/>
      <c r="K934" s="69"/>
      <c r="L934" s="69"/>
      <c r="M934" s="290"/>
      <c r="N934" s="69"/>
      <c r="O934" s="69"/>
      <c r="P934" s="69"/>
      <c r="Q934" s="290"/>
      <c r="R934" s="5"/>
      <c r="T934" s="2"/>
      <c r="U934" s="12"/>
    </row>
    <row r="935" spans="2:23" x14ac:dyDescent="0.15"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T935" s="2"/>
      <c r="U935" s="12"/>
    </row>
    <row r="936" spans="2:23" x14ac:dyDescent="0.15"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T936" s="2"/>
      <c r="U936" s="12"/>
    </row>
    <row r="937" spans="2:23" x14ac:dyDescent="0.15">
      <c r="B937" s="106"/>
      <c r="C937" s="5"/>
      <c r="D937" s="5"/>
      <c r="E937" s="5"/>
      <c r="F937" s="5"/>
      <c r="G937" s="284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T937" s="2"/>
      <c r="U937" s="35"/>
    </row>
    <row r="938" spans="2:23" x14ac:dyDescent="0.15">
      <c r="B938" s="5"/>
      <c r="C938" s="5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5"/>
      <c r="T938" s="2"/>
      <c r="V938" s="2"/>
      <c r="W938" s="2"/>
    </row>
    <row r="939" spans="2:23" x14ac:dyDescent="0.15">
      <c r="B939" s="5"/>
      <c r="C939" s="5"/>
      <c r="D939" s="36"/>
      <c r="E939" s="36"/>
      <c r="F939" s="173"/>
      <c r="G939" s="172"/>
      <c r="H939" s="172"/>
      <c r="I939" s="172"/>
      <c r="J939" s="173"/>
      <c r="K939" s="172"/>
      <c r="L939" s="172"/>
      <c r="M939" s="172"/>
      <c r="N939" s="173"/>
      <c r="O939" s="172"/>
      <c r="P939" s="172"/>
      <c r="Q939" s="172"/>
      <c r="R939" s="5"/>
      <c r="V939" s="2"/>
      <c r="W939" s="2"/>
    </row>
    <row r="940" spans="2:23" x14ac:dyDescent="0.15">
      <c r="B940" s="5"/>
      <c r="C940" s="5"/>
      <c r="D940" s="36"/>
      <c r="E940" s="36"/>
      <c r="F940" s="99"/>
      <c r="G940" s="99"/>
      <c r="H940" s="99"/>
      <c r="I940" s="99"/>
      <c r="J940" s="5"/>
      <c r="K940" s="99"/>
      <c r="L940" s="99"/>
      <c r="M940" s="99"/>
      <c r="N940" s="5"/>
      <c r="O940" s="99"/>
      <c r="P940" s="99"/>
      <c r="Q940" s="99"/>
      <c r="R940" s="5"/>
      <c r="V940" s="2"/>
      <c r="W940" s="2"/>
    </row>
    <row r="941" spans="2:23" x14ac:dyDescent="0.15">
      <c r="B941" s="5"/>
      <c r="C941" s="5"/>
      <c r="D941" s="36"/>
      <c r="E941" s="36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"/>
      <c r="V941" s="2"/>
      <c r="W941" s="2"/>
    </row>
    <row r="942" spans="2:23" x14ac:dyDescent="0.15">
      <c r="B942" s="5"/>
      <c r="C942" s="5"/>
      <c r="D942" s="36"/>
      <c r="E942" s="36"/>
      <c r="F942" s="99"/>
      <c r="G942" s="99"/>
      <c r="H942" s="99"/>
      <c r="I942" s="99"/>
      <c r="J942" s="5"/>
      <c r="K942" s="99"/>
      <c r="L942" s="99"/>
      <c r="M942" s="99"/>
      <c r="N942" s="5"/>
      <c r="O942" s="99"/>
      <c r="P942" s="99"/>
      <c r="Q942" s="99"/>
      <c r="R942" s="5"/>
      <c r="U942" s="12"/>
      <c r="V942" s="2"/>
      <c r="W942" s="2"/>
    </row>
    <row r="943" spans="2:23" x14ac:dyDescent="0.15">
      <c r="B943" s="5"/>
      <c r="C943" s="5"/>
      <c r="D943" s="36"/>
      <c r="E943" s="36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"/>
      <c r="U943" s="12"/>
      <c r="V943" s="2"/>
      <c r="W943" s="2"/>
    </row>
    <row r="944" spans="2:23" x14ac:dyDescent="0.15">
      <c r="B944" s="5"/>
      <c r="C944" s="5"/>
      <c r="D944" s="285"/>
      <c r="E944" s="285"/>
      <c r="F944" s="99"/>
      <c r="G944" s="99"/>
      <c r="H944" s="99"/>
      <c r="I944" s="99"/>
      <c r="J944" s="5"/>
      <c r="K944" s="99"/>
      <c r="L944" s="99"/>
      <c r="M944" s="99"/>
      <c r="N944" s="5"/>
      <c r="O944" s="99"/>
      <c r="P944" s="99"/>
      <c r="Q944" s="99"/>
      <c r="R944" s="5"/>
      <c r="U944" s="12"/>
      <c r="V944" s="2"/>
      <c r="W944" s="2"/>
    </row>
    <row r="945" spans="2:41" x14ac:dyDescent="0.15">
      <c r="B945" s="5"/>
      <c r="C945" s="5"/>
      <c r="D945" s="285"/>
      <c r="E945" s="285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"/>
      <c r="U945" s="12"/>
      <c r="V945" s="2"/>
      <c r="W945" s="2"/>
    </row>
    <row r="946" spans="2:41" x14ac:dyDescent="0.15">
      <c r="B946" s="5"/>
      <c r="C946" s="5"/>
      <c r="D946" s="36"/>
      <c r="E946" s="36"/>
      <c r="F946" s="99"/>
      <c r="G946" s="99"/>
      <c r="H946" s="99"/>
      <c r="I946" s="99"/>
      <c r="J946" s="5"/>
      <c r="K946" s="99"/>
      <c r="L946" s="99"/>
      <c r="M946" s="99"/>
      <c r="N946" s="5"/>
      <c r="O946" s="99"/>
      <c r="P946" s="99"/>
      <c r="Q946" s="99"/>
      <c r="R946" s="5"/>
      <c r="U946" s="12"/>
      <c r="V946" s="2"/>
      <c r="W946" s="2"/>
    </row>
    <row r="947" spans="2:41" x14ac:dyDescent="0.15">
      <c r="B947" s="5"/>
      <c r="C947" s="5"/>
      <c r="D947" s="36"/>
      <c r="E947" s="36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"/>
      <c r="U947" s="12"/>
      <c r="V947" s="2"/>
      <c r="W947" s="2"/>
    </row>
    <row r="948" spans="2:41" x14ac:dyDescent="0.15">
      <c r="B948" s="5"/>
      <c r="C948" s="5"/>
      <c r="D948" s="36"/>
      <c r="E948" s="36"/>
      <c r="F948" s="99"/>
      <c r="G948" s="99"/>
      <c r="H948" s="99"/>
      <c r="I948" s="99"/>
      <c r="J948" s="99"/>
      <c r="K948" s="99"/>
      <c r="L948" s="99"/>
      <c r="M948" s="99"/>
      <c r="N948" s="99"/>
      <c r="O948" s="99"/>
      <c r="P948" s="99"/>
      <c r="Q948" s="99"/>
      <c r="R948" s="5"/>
      <c r="U948" s="12"/>
      <c r="V948" s="2"/>
      <c r="W948" s="2"/>
    </row>
    <row r="949" spans="2:41" x14ac:dyDescent="0.15">
      <c r="B949" s="5"/>
      <c r="C949" s="5"/>
      <c r="D949" s="36"/>
      <c r="E949" s="36"/>
      <c r="F949" s="74"/>
      <c r="G949" s="74"/>
      <c r="H949" s="74"/>
      <c r="I949" s="74"/>
      <c r="J949" s="57"/>
      <c r="K949" s="57"/>
      <c r="L949" s="57"/>
      <c r="M949" s="57"/>
      <c r="N949" s="57"/>
      <c r="O949" s="57"/>
      <c r="P949" s="57"/>
      <c r="Q949" s="57"/>
      <c r="R949" s="5"/>
      <c r="U949" s="12"/>
      <c r="V949" s="2"/>
      <c r="W949" s="2"/>
    </row>
    <row r="950" spans="2:41" x14ac:dyDescent="0.15">
      <c r="B950" s="5"/>
      <c r="C950" s="5"/>
      <c r="D950" s="5"/>
      <c r="E950" s="5"/>
      <c r="F950" s="5"/>
      <c r="G950" s="69"/>
      <c r="H950" s="69"/>
      <c r="I950" s="69"/>
      <c r="J950" s="69"/>
      <c r="K950" s="69"/>
      <c r="L950" s="69"/>
      <c r="M950" s="290"/>
      <c r="N950" s="69"/>
      <c r="O950" s="69"/>
      <c r="P950" s="69"/>
      <c r="Q950" s="290"/>
      <c r="R950" s="5"/>
      <c r="U950" s="12"/>
    </row>
    <row r="951" spans="2:41" x14ac:dyDescent="0.15">
      <c r="B951" s="5"/>
      <c r="C951" s="5"/>
      <c r="D951" s="5"/>
      <c r="E951" s="5"/>
      <c r="F951" s="5"/>
      <c r="G951" s="69"/>
      <c r="H951" s="69"/>
      <c r="I951" s="69"/>
      <c r="J951" s="69"/>
      <c r="K951" s="69"/>
      <c r="L951" s="69"/>
      <c r="M951" s="290"/>
      <c r="N951" s="69"/>
      <c r="O951" s="69"/>
      <c r="P951" s="69"/>
      <c r="Q951" s="290"/>
      <c r="R951" s="5"/>
      <c r="U951" s="74"/>
      <c r="V951" s="151"/>
      <c r="W951" s="151"/>
      <c r="X951" s="151"/>
      <c r="Y951" s="151"/>
      <c r="Z951" s="151"/>
      <c r="AA951" s="151"/>
      <c r="AB951" s="151"/>
      <c r="AC951" s="151"/>
      <c r="AD951" s="151"/>
      <c r="AE951" s="151"/>
      <c r="AF951" s="151"/>
      <c r="AG951" s="151"/>
      <c r="AH951" s="151"/>
      <c r="AI951" s="151"/>
      <c r="AJ951" s="151"/>
      <c r="AK951" s="151"/>
      <c r="AL951" s="151"/>
      <c r="AM951" s="151"/>
      <c r="AN951" s="280"/>
      <c r="AO951" s="151"/>
    </row>
    <row r="952" spans="2:41" x14ac:dyDescent="0.15">
      <c r="B952" s="106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U952" s="74"/>
      <c r="V952" s="151"/>
      <c r="W952" s="291"/>
      <c r="X952" s="5"/>
      <c r="Y952" s="5"/>
      <c r="Z952" s="5"/>
      <c r="AA952" s="5"/>
      <c r="AB952" s="5"/>
      <c r="AC952" s="284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108"/>
      <c r="AO952" s="151"/>
    </row>
    <row r="953" spans="2:41" x14ac:dyDescent="0.15">
      <c r="B953" s="5"/>
      <c r="C953" s="5"/>
      <c r="D953" s="36"/>
      <c r="E953" s="36"/>
      <c r="F953" s="36"/>
      <c r="G953" s="36"/>
      <c r="H953" s="36"/>
      <c r="I953" s="36"/>
      <c r="J953" s="173"/>
      <c r="K953" s="36"/>
      <c r="L953" s="36"/>
      <c r="M953" s="36"/>
      <c r="N953" s="36"/>
      <c r="O953" s="36"/>
      <c r="P953" s="36"/>
      <c r="Q953" s="36"/>
      <c r="R953" s="36"/>
      <c r="S953" s="123"/>
      <c r="U953" s="74"/>
      <c r="V953" s="151"/>
      <c r="W953" s="5"/>
      <c r="X953" s="173"/>
      <c r="Y953" s="36"/>
      <c r="Z953" s="36"/>
      <c r="AA953" s="36"/>
      <c r="AB953" s="36"/>
      <c r="AC953" s="36"/>
      <c r="AD953" s="36"/>
      <c r="AE953" s="36"/>
      <c r="AF953" s="173"/>
      <c r="AG953" s="36"/>
      <c r="AH953" s="36"/>
      <c r="AI953" s="36"/>
      <c r="AJ953" s="36"/>
      <c r="AK953" s="36"/>
      <c r="AL953" s="36"/>
      <c r="AM953" s="36"/>
      <c r="AN953" s="108"/>
      <c r="AO953" s="151"/>
    </row>
    <row r="954" spans="2:41" x14ac:dyDescent="0.15">
      <c r="B954" s="5"/>
      <c r="C954" s="5"/>
      <c r="D954" s="173"/>
      <c r="E954" s="36"/>
      <c r="F954" s="36"/>
      <c r="G954" s="36"/>
      <c r="H954" s="36"/>
      <c r="I954" s="36"/>
      <c r="J954" s="173"/>
      <c r="K954" s="173"/>
      <c r="L954" s="102"/>
      <c r="M954" s="102"/>
      <c r="N954" s="173"/>
      <c r="O954" s="173"/>
      <c r="P954" s="102"/>
      <c r="Q954" s="102"/>
      <c r="R954" s="172"/>
      <c r="S954" s="121"/>
      <c r="U954" s="292"/>
      <c r="V954" s="151"/>
      <c r="W954" s="5"/>
      <c r="X954" s="173"/>
      <c r="Y954" s="173"/>
      <c r="Z954" s="102"/>
      <c r="AA954" s="102"/>
      <c r="AB954" s="293"/>
      <c r="AC954" s="293"/>
      <c r="AD954" s="102"/>
      <c r="AE954" s="102"/>
      <c r="AF954" s="173"/>
      <c r="AG954" s="173"/>
      <c r="AH954" s="102"/>
      <c r="AI954" s="102"/>
      <c r="AJ954" s="293"/>
      <c r="AK954" s="293"/>
      <c r="AL954" s="102"/>
      <c r="AM954" s="102"/>
      <c r="AN954" s="109"/>
      <c r="AO954" s="151"/>
    </row>
    <row r="955" spans="2:41" x14ac:dyDescent="0.15">
      <c r="B955" s="285"/>
      <c r="C955" s="285"/>
      <c r="D955" s="285"/>
      <c r="E955" s="285"/>
      <c r="F955" s="36"/>
      <c r="G955" s="36"/>
      <c r="H955" s="36"/>
      <c r="I955" s="36"/>
      <c r="J955" s="173"/>
      <c r="K955" s="5"/>
      <c r="L955" s="173"/>
      <c r="M955" s="99"/>
      <c r="N955" s="173"/>
      <c r="O955" s="5"/>
      <c r="P955" s="173"/>
      <c r="Q955" s="99"/>
      <c r="R955" s="110"/>
      <c r="S955" s="110"/>
      <c r="U955" s="292"/>
      <c r="V955" s="151"/>
      <c r="W955" s="285"/>
      <c r="X955" s="173"/>
      <c r="Y955" s="99"/>
      <c r="Z955" s="173"/>
      <c r="AA955" s="99"/>
      <c r="AB955" s="110"/>
      <c r="AC955" s="99"/>
      <c r="AD955" s="99"/>
      <c r="AE955" s="99"/>
      <c r="AF955" s="173"/>
      <c r="AG955" s="5"/>
      <c r="AH955" s="173"/>
      <c r="AI955" s="99"/>
      <c r="AJ955" s="110"/>
      <c r="AK955" s="99"/>
      <c r="AL955" s="110"/>
      <c r="AM955" s="99"/>
      <c r="AN955" s="111"/>
      <c r="AO955" s="151"/>
    </row>
    <row r="956" spans="2:41" x14ac:dyDescent="0.15">
      <c r="B956" s="285"/>
      <c r="C956" s="285"/>
      <c r="D956" s="285"/>
      <c r="E956" s="285"/>
      <c r="F956" s="36"/>
      <c r="G956" s="36"/>
      <c r="H956" s="36"/>
      <c r="I956" s="36"/>
      <c r="J956" s="173"/>
      <c r="K956" s="57"/>
      <c r="L956" s="172"/>
      <c r="M956" s="57"/>
      <c r="N956" s="173"/>
      <c r="O956" s="57"/>
      <c r="P956" s="172"/>
      <c r="Q956" s="57"/>
      <c r="R956" s="57"/>
      <c r="S956" s="57"/>
      <c r="U956" s="292"/>
      <c r="V956" s="151"/>
      <c r="W956" s="285"/>
      <c r="X956" s="173"/>
      <c r="Y956" s="57"/>
      <c r="Z956" s="172"/>
      <c r="AA956" s="57"/>
      <c r="AB956" s="57"/>
      <c r="AC956" s="57"/>
      <c r="AD956" s="57"/>
      <c r="AE956" s="57"/>
      <c r="AF956" s="173"/>
      <c r="AG956" s="57"/>
      <c r="AH956" s="172"/>
      <c r="AI956" s="57"/>
      <c r="AJ956" s="57"/>
      <c r="AK956" s="57"/>
      <c r="AL956" s="57"/>
      <c r="AM956" s="57"/>
      <c r="AN956" s="109"/>
      <c r="AO956" s="151"/>
    </row>
    <row r="957" spans="2:41" x14ac:dyDescent="0.15">
      <c r="B957" s="285"/>
      <c r="C957" s="285"/>
      <c r="D957" s="285"/>
      <c r="E957" s="285"/>
      <c r="F957" s="36"/>
      <c r="G957" s="36"/>
      <c r="H957" s="36"/>
      <c r="I957" s="36"/>
      <c r="J957" s="173"/>
      <c r="K957" s="5"/>
      <c r="L957" s="173"/>
      <c r="M957" s="99"/>
      <c r="N957" s="173"/>
      <c r="O957" s="5"/>
      <c r="P957" s="173"/>
      <c r="Q957" s="99"/>
      <c r="R957" s="110"/>
      <c r="S957" s="110"/>
      <c r="U957" s="292"/>
      <c r="V957" s="151"/>
      <c r="W957" s="285"/>
      <c r="X957" s="173"/>
      <c r="Y957" s="99"/>
      <c r="Z957" s="173"/>
      <c r="AA957" s="99"/>
      <c r="AB957" s="110"/>
      <c r="AC957" s="99"/>
      <c r="AD957" s="99"/>
      <c r="AE957" s="99"/>
      <c r="AF957" s="173"/>
      <c r="AG957" s="5"/>
      <c r="AH957" s="173"/>
      <c r="AI957" s="99"/>
      <c r="AJ957" s="110"/>
      <c r="AK957" s="99"/>
      <c r="AL957" s="110"/>
      <c r="AM957" s="99"/>
      <c r="AN957" s="111"/>
      <c r="AO957" s="151"/>
    </row>
    <row r="958" spans="2:41" x14ac:dyDescent="0.15">
      <c r="B958" s="285"/>
      <c r="C958" s="285"/>
      <c r="D958" s="285"/>
      <c r="E958" s="285"/>
      <c r="F958" s="36"/>
      <c r="G958" s="36"/>
      <c r="H958" s="36"/>
      <c r="I958" s="36"/>
      <c r="J958" s="173"/>
      <c r="K958" s="57"/>
      <c r="L958" s="172"/>
      <c r="M958" s="57"/>
      <c r="N958" s="173"/>
      <c r="O958" s="57"/>
      <c r="P958" s="172"/>
      <c r="Q958" s="57"/>
      <c r="R958" s="110"/>
      <c r="S958" s="110"/>
      <c r="U958" s="292"/>
      <c r="V958" s="151"/>
      <c r="W958" s="285"/>
      <c r="X958" s="173"/>
      <c r="Y958" s="57"/>
      <c r="Z958" s="172"/>
      <c r="AA958" s="57"/>
      <c r="AB958" s="57"/>
      <c r="AC958" s="57"/>
      <c r="AD958" s="57"/>
      <c r="AE958" s="57"/>
      <c r="AF958" s="173"/>
      <c r="AG958" s="57"/>
      <c r="AH958" s="172"/>
      <c r="AI958" s="57"/>
      <c r="AJ958" s="110"/>
      <c r="AK958" s="57"/>
      <c r="AL958" s="110"/>
      <c r="AM958" s="57"/>
      <c r="AN958" s="109"/>
      <c r="AO958" s="151"/>
    </row>
    <row r="959" spans="2:41" x14ac:dyDescent="0.15">
      <c r="B959" s="36"/>
      <c r="C959" s="36"/>
      <c r="D959" s="36"/>
      <c r="E959" s="36"/>
      <c r="F959" s="36"/>
      <c r="G959" s="36"/>
      <c r="H959" s="36"/>
      <c r="I959" s="36"/>
      <c r="J959" s="173"/>
      <c r="K959" s="5"/>
      <c r="L959" s="173"/>
      <c r="M959" s="99"/>
      <c r="N959" s="173"/>
      <c r="O959" s="5"/>
      <c r="P959" s="173"/>
      <c r="Q959" s="99"/>
      <c r="R959" s="110"/>
      <c r="S959" s="110"/>
      <c r="U959" s="292"/>
      <c r="V959" s="151"/>
      <c r="W959" s="36"/>
      <c r="X959" s="173"/>
      <c r="Y959" s="99"/>
      <c r="Z959" s="173"/>
      <c r="AA959" s="99"/>
      <c r="AB959" s="110"/>
      <c r="AC959" s="99"/>
      <c r="AD959" s="99"/>
      <c r="AE959" s="99"/>
      <c r="AF959" s="173"/>
      <c r="AG959" s="5"/>
      <c r="AH959" s="173"/>
      <c r="AI959" s="99"/>
      <c r="AJ959" s="110"/>
      <c r="AK959" s="99"/>
      <c r="AL959" s="110"/>
      <c r="AM959" s="99"/>
      <c r="AN959" s="111"/>
      <c r="AO959" s="151"/>
    </row>
    <row r="960" spans="2:41" x14ac:dyDescent="0.15">
      <c r="B960" s="36"/>
      <c r="C960" s="36"/>
      <c r="D960" s="36"/>
      <c r="E960" s="36"/>
      <c r="F960" s="36"/>
      <c r="G960" s="36"/>
      <c r="H960" s="36"/>
      <c r="I960" s="36"/>
      <c r="J960" s="173"/>
      <c r="K960" s="57"/>
      <c r="L960" s="172"/>
      <c r="M960" s="57"/>
      <c r="N960" s="173"/>
      <c r="O960" s="57"/>
      <c r="P960" s="172"/>
      <c r="Q960" s="57"/>
      <c r="R960" s="110"/>
      <c r="S960" s="110"/>
      <c r="U960" s="292"/>
      <c r="V960" s="151"/>
      <c r="W960" s="36"/>
      <c r="X960" s="173"/>
      <c r="Y960" s="57"/>
      <c r="Z960" s="172"/>
      <c r="AA960" s="57"/>
      <c r="AB960" s="57"/>
      <c r="AC960" s="57"/>
      <c r="AD960" s="57"/>
      <c r="AE960" s="57"/>
      <c r="AF960" s="173"/>
      <c r="AG960" s="57"/>
      <c r="AH960" s="172"/>
      <c r="AI960" s="57"/>
      <c r="AJ960" s="110"/>
      <c r="AK960" s="57"/>
      <c r="AL960" s="110"/>
      <c r="AM960" s="57"/>
      <c r="AN960" s="109"/>
      <c r="AO960" s="151"/>
    </row>
    <row r="961" spans="2:41" x14ac:dyDescent="0.15">
      <c r="B961" s="285"/>
      <c r="C961" s="285"/>
      <c r="D961" s="285"/>
      <c r="E961" s="285"/>
      <c r="F961" s="36"/>
      <c r="G961" s="36"/>
      <c r="H961" s="36"/>
      <c r="I961" s="36"/>
      <c r="J961" s="173"/>
      <c r="K961" s="5"/>
      <c r="L961" s="173"/>
      <c r="M961" s="99"/>
      <c r="N961" s="173"/>
      <c r="O961" s="5"/>
      <c r="P961" s="173"/>
      <c r="Q961" s="99"/>
      <c r="R961" s="110"/>
      <c r="S961" s="110"/>
      <c r="U961" s="292"/>
      <c r="V961" s="151"/>
      <c r="W961" s="175"/>
      <c r="X961" s="173"/>
      <c r="Y961" s="99"/>
      <c r="Z961" s="173"/>
      <c r="AA961" s="99"/>
      <c r="AB961" s="110"/>
      <c r="AC961" s="99"/>
      <c r="AD961" s="99"/>
      <c r="AE961" s="99"/>
      <c r="AF961" s="173"/>
      <c r="AG961" s="5"/>
      <c r="AH961" s="173"/>
      <c r="AI961" s="99"/>
      <c r="AJ961" s="110"/>
      <c r="AK961" s="99"/>
      <c r="AL961" s="110"/>
      <c r="AM961" s="99"/>
      <c r="AN961" s="111"/>
      <c r="AO961" s="151"/>
    </row>
    <row r="962" spans="2:41" x14ac:dyDescent="0.15">
      <c r="B962" s="285"/>
      <c r="C962" s="285"/>
      <c r="D962" s="285"/>
      <c r="E962" s="285"/>
      <c r="F962" s="36"/>
      <c r="G962" s="36"/>
      <c r="H962" s="36"/>
      <c r="I962" s="36"/>
      <c r="J962" s="173"/>
      <c r="K962" s="57"/>
      <c r="L962" s="57"/>
      <c r="M962" s="57"/>
      <c r="N962" s="173"/>
      <c r="O962" s="57"/>
      <c r="P962" s="57"/>
      <c r="Q962" s="57"/>
      <c r="R962" s="110"/>
      <c r="S962" s="110"/>
      <c r="U962" s="292"/>
      <c r="V962" s="151"/>
      <c r="W962" s="175"/>
      <c r="X962" s="173"/>
      <c r="Y962" s="57"/>
      <c r="Z962" s="172"/>
      <c r="AA962" s="57"/>
      <c r="AB962" s="57"/>
      <c r="AC962" s="57"/>
      <c r="AD962" s="57"/>
      <c r="AE962" s="57"/>
      <c r="AF962" s="173"/>
      <c r="AG962" s="57"/>
      <c r="AH962" s="57"/>
      <c r="AI962" s="57"/>
      <c r="AJ962" s="110"/>
      <c r="AK962" s="57"/>
      <c r="AL962" s="110"/>
      <c r="AM962" s="57"/>
      <c r="AN962" s="109"/>
      <c r="AO962" s="151"/>
    </row>
    <row r="963" spans="2:41" x14ac:dyDescent="0.15">
      <c r="B963" s="285"/>
      <c r="C963" s="285"/>
      <c r="D963" s="285"/>
      <c r="E963" s="285"/>
      <c r="F963" s="36"/>
      <c r="G963" s="36"/>
      <c r="H963" s="36"/>
      <c r="I963" s="36"/>
      <c r="J963" s="173"/>
      <c r="K963" s="57"/>
      <c r="L963" s="57"/>
      <c r="M963" s="57"/>
      <c r="N963" s="173"/>
      <c r="O963" s="57"/>
      <c r="P963" s="57"/>
      <c r="Q963" s="57"/>
      <c r="R963" s="110"/>
      <c r="S963" s="110"/>
      <c r="U963" s="292"/>
      <c r="V963" s="151"/>
      <c r="W963" s="285"/>
      <c r="X963" s="173"/>
      <c r="Y963" s="99"/>
      <c r="Z963" s="57"/>
      <c r="AA963" s="99"/>
      <c r="AB963" s="110"/>
      <c r="AC963" s="99"/>
      <c r="AD963" s="99"/>
      <c r="AE963" s="99"/>
      <c r="AF963" s="173"/>
      <c r="AG963" s="102"/>
      <c r="AH963" s="57"/>
      <c r="AI963" s="102"/>
      <c r="AJ963" s="110"/>
      <c r="AK963" s="102"/>
      <c r="AL963" s="110"/>
      <c r="AM963" s="102"/>
      <c r="AN963" s="109"/>
      <c r="AO963" s="151"/>
    </row>
    <row r="964" spans="2:41" x14ac:dyDescent="0.15">
      <c r="B964" s="285"/>
      <c r="C964" s="285"/>
      <c r="D964" s="285"/>
      <c r="E964" s="285"/>
      <c r="F964" s="36"/>
      <c r="G964" s="36"/>
      <c r="H964" s="36"/>
      <c r="I964" s="36"/>
      <c r="J964" s="173"/>
      <c r="K964" s="57"/>
      <c r="L964" s="57"/>
      <c r="M964" s="57"/>
      <c r="N964" s="173"/>
      <c r="O964" s="57"/>
      <c r="P964" s="57"/>
      <c r="Q964" s="57"/>
      <c r="R964" s="110"/>
      <c r="S964" s="110"/>
      <c r="U964" s="292"/>
      <c r="V964" s="151"/>
      <c r="W964" s="285"/>
      <c r="X964" s="173"/>
      <c r="Y964" s="57"/>
      <c r="Z964" s="172"/>
      <c r="AA964" s="57"/>
      <c r="AB964" s="57"/>
      <c r="AC964" s="57"/>
      <c r="AD964" s="57"/>
      <c r="AE964" s="57"/>
      <c r="AF964" s="173"/>
      <c r="AG964" s="102"/>
      <c r="AH964" s="57"/>
      <c r="AI964" s="102"/>
      <c r="AJ964" s="110"/>
      <c r="AK964" s="102"/>
      <c r="AL964" s="110"/>
      <c r="AM964" s="102"/>
      <c r="AN964" s="109"/>
      <c r="AO964" s="151"/>
    </row>
    <row r="965" spans="2:41" x14ac:dyDescent="0.15">
      <c r="B965" s="36"/>
      <c r="C965" s="36"/>
      <c r="D965" s="36"/>
      <c r="E965" s="36"/>
      <c r="F965" s="36"/>
      <c r="G965" s="36"/>
      <c r="H965" s="36"/>
      <c r="I965" s="36"/>
      <c r="J965" s="174"/>
      <c r="K965" s="5"/>
      <c r="L965" s="5"/>
      <c r="M965" s="99"/>
      <c r="N965" s="174"/>
      <c r="O965" s="5"/>
      <c r="P965" s="5"/>
      <c r="Q965" s="99"/>
      <c r="R965" s="57"/>
      <c r="S965" s="57"/>
      <c r="U965" s="292"/>
      <c r="V965" s="151"/>
      <c r="W965" s="36"/>
      <c r="X965" s="174"/>
      <c r="Y965" s="99"/>
      <c r="Z965" s="5"/>
      <c r="AA965" s="99"/>
      <c r="AB965" s="57"/>
      <c r="AC965" s="99"/>
      <c r="AD965" s="99"/>
      <c r="AE965" s="99"/>
      <c r="AF965" s="174"/>
      <c r="AG965" s="5"/>
      <c r="AH965" s="5"/>
      <c r="AI965" s="99"/>
      <c r="AJ965" s="57"/>
      <c r="AK965" s="99"/>
      <c r="AL965" s="57"/>
      <c r="AM965" s="99"/>
      <c r="AN965" s="111"/>
      <c r="AO965" s="151"/>
    </row>
    <row r="966" spans="2:41" x14ac:dyDescent="0.15">
      <c r="B966" s="36"/>
      <c r="C966" s="36"/>
      <c r="D966" s="36"/>
      <c r="E966" s="36"/>
      <c r="F966" s="36"/>
      <c r="G966" s="36"/>
      <c r="H966" s="36"/>
      <c r="I966" s="36"/>
      <c r="J966" s="174"/>
      <c r="K966" s="57"/>
      <c r="L966" s="57"/>
      <c r="M966" s="57"/>
      <c r="N966" s="174"/>
      <c r="O966" s="57"/>
      <c r="P966" s="57"/>
      <c r="Q966" s="57"/>
      <c r="R966" s="57"/>
      <c r="S966" s="57"/>
      <c r="U966" s="292"/>
      <c r="V966" s="151"/>
      <c r="W966" s="36"/>
      <c r="X966" s="174"/>
      <c r="Y966" s="57"/>
      <c r="Z966" s="172"/>
      <c r="AA966" s="57"/>
      <c r="AB966" s="57"/>
      <c r="AC966" s="57"/>
      <c r="AD966" s="57"/>
      <c r="AE966" s="57"/>
      <c r="AF966" s="174"/>
      <c r="AG966" s="57"/>
      <c r="AH966" s="57"/>
      <c r="AI966" s="57"/>
      <c r="AJ966" s="57"/>
      <c r="AK966" s="57"/>
      <c r="AL966" s="57"/>
      <c r="AM966" s="57"/>
      <c r="AN966" s="109"/>
      <c r="AO966" s="151"/>
    </row>
    <row r="967" spans="2:41" x14ac:dyDescent="0.15">
      <c r="B967" s="36"/>
      <c r="C967" s="36"/>
      <c r="D967" s="36"/>
      <c r="E967" s="36"/>
      <c r="F967" s="36"/>
      <c r="G967" s="36"/>
      <c r="H967" s="36"/>
      <c r="I967" s="36"/>
      <c r="J967" s="174"/>
      <c r="K967" s="5"/>
      <c r="L967" s="5"/>
      <c r="M967" s="99"/>
      <c r="N967" s="174"/>
      <c r="O967" s="5"/>
      <c r="P967" s="5"/>
      <c r="Q967" s="99"/>
      <c r="R967" s="57"/>
      <c r="S967" s="57"/>
      <c r="U967" s="292"/>
      <c r="V967" s="151"/>
      <c r="W967" s="36"/>
      <c r="X967" s="174"/>
      <c r="Y967" s="99"/>
      <c r="Z967" s="5"/>
      <c r="AA967" s="99"/>
      <c r="AB967" s="57"/>
      <c r="AC967" s="99"/>
      <c r="AD967" s="99"/>
      <c r="AE967" s="99"/>
      <c r="AF967" s="174"/>
      <c r="AG967" s="5"/>
      <c r="AH967" s="5"/>
      <c r="AI967" s="99"/>
      <c r="AJ967" s="57"/>
      <c r="AK967" s="99"/>
      <c r="AL967" s="57"/>
      <c r="AM967" s="99"/>
      <c r="AN967" s="111"/>
      <c r="AO967" s="151"/>
    </row>
    <row r="968" spans="2:41" x14ac:dyDescent="0.15">
      <c r="B968" s="36"/>
      <c r="C968" s="36"/>
      <c r="D968" s="36"/>
      <c r="E968" s="36"/>
      <c r="F968" s="36"/>
      <c r="G968" s="36"/>
      <c r="H968" s="36"/>
      <c r="I968" s="36"/>
      <c r="J968" s="174"/>
      <c r="K968" s="57"/>
      <c r="L968" s="57"/>
      <c r="M968" s="57"/>
      <c r="N968" s="174"/>
      <c r="O968" s="57"/>
      <c r="P968" s="57"/>
      <c r="Q968" s="57"/>
      <c r="R968" s="57"/>
      <c r="S968" s="57"/>
      <c r="U968" s="292"/>
      <c r="V968" s="151"/>
      <c r="W968" s="36"/>
      <c r="X968" s="174"/>
      <c r="Y968" s="57"/>
      <c r="Z968" s="172"/>
      <c r="AA968" s="57"/>
      <c r="AB968" s="57"/>
      <c r="AC968" s="57"/>
      <c r="AD968" s="57"/>
      <c r="AE968" s="57"/>
      <c r="AF968" s="174"/>
      <c r="AG968" s="57"/>
      <c r="AH968" s="57"/>
      <c r="AI968" s="57"/>
      <c r="AJ968" s="57"/>
      <c r="AK968" s="57"/>
      <c r="AL968" s="57"/>
      <c r="AM968" s="57"/>
      <c r="AN968" s="109"/>
      <c r="AO968" s="151"/>
    </row>
    <row r="969" spans="2:41" x14ac:dyDescent="0.15">
      <c r="B969" s="273"/>
      <c r="C969" s="273"/>
      <c r="D969" s="273"/>
      <c r="E969" s="273"/>
      <c r="F969" s="36"/>
      <c r="G969" s="36"/>
      <c r="H969" s="36"/>
      <c r="I969" s="36"/>
      <c r="J969" s="5"/>
      <c r="K969" s="99"/>
      <c r="L969" s="99"/>
      <c r="M969" s="99"/>
      <c r="N969" s="5"/>
      <c r="O969" s="99"/>
      <c r="P969" s="99"/>
      <c r="Q969" s="99"/>
      <c r="R969" s="99"/>
      <c r="S969" s="99"/>
      <c r="U969" s="292"/>
      <c r="V969" s="151"/>
      <c r="W969" s="36"/>
      <c r="X969" s="5"/>
      <c r="Y969" s="99"/>
      <c r="Z969" s="99"/>
      <c r="AA969" s="99"/>
      <c r="AB969" s="99"/>
      <c r="AC969" s="99"/>
      <c r="AD969" s="99"/>
      <c r="AE969" s="99"/>
      <c r="AF969" s="5"/>
      <c r="AG969" s="99"/>
      <c r="AH969" s="99"/>
      <c r="AI969" s="99"/>
      <c r="AJ969" s="99"/>
      <c r="AK969" s="99"/>
      <c r="AL969" s="99"/>
      <c r="AM969" s="99"/>
      <c r="AN969" s="111"/>
      <c r="AO969" s="151"/>
    </row>
    <row r="970" spans="2:41" x14ac:dyDescent="0.15">
      <c r="B970" s="273"/>
      <c r="C970" s="273"/>
      <c r="D970" s="273"/>
      <c r="E970" s="273"/>
      <c r="F970" s="36"/>
      <c r="G970" s="36"/>
      <c r="H970" s="36"/>
      <c r="I970" s="36"/>
      <c r="J970" s="5"/>
      <c r="K970" s="113"/>
      <c r="L970" s="113"/>
      <c r="M970" s="113"/>
      <c r="N970" s="5"/>
      <c r="O970" s="113"/>
      <c r="P970" s="113"/>
      <c r="Q970" s="113"/>
      <c r="R970" s="113"/>
      <c r="S970" s="113"/>
      <c r="U970" s="292"/>
      <c r="V970" s="151"/>
      <c r="W970" s="36"/>
      <c r="X970" s="5"/>
      <c r="Y970" s="115"/>
      <c r="Z970" s="113"/>
      <c r="AA970" s="115"/>
      <c r="AB970" s="113"/>
      <c r="AC970" s="115"/>
      <c r="AD970" s="113"/>
      <c r="AE970" s="115"/>
      <c r="AF970" s="5"/>
      <c r="AG970" s="113"/>
      <c r="AH970" s="113"/>
      <c r="AI970" s="113"/>
      <c r="AJ970" s="113"/>
      <c r="AK970" s="113"/>
      <c r="AL970" s="113"/>
      <c r="AM970" s="113"/>
      <c r="AN970" s="114"/>
      <c r="AO970" s="151"/>
    </row>
    <row r="971" spans="2:41" x14ac:dyDescent="0.15">
      <c r="D971" s="82"/>
      <c r="E971" s="129"/>
      <c r="F971" s="129"/>
      <c r="G971" s="129"/>
      <c r="H971" s="129"/>
      <c r="I971" s="129"/>
      <c r="J971" s="5"/>
      <c r="K971" s="69"/>
      <c r="L971" s="69"/>
      <c r="M971" s="69"/>
      <c r="N971" s="5"/>
      <c r="O971" s="69"/>
      <c r="P971" s="69"/>
      <c r="Q971" s="69"/>
      <c r="R971" s="69"/>
      <c r="S971" s="69"/>
      <c r="U971" s="292"/>
      <c r="V971" s="151"/>
      <c r="W971" s="151"/>
      <c r="X971" s="151"/>
      <c r="Y971" s="151"/>
      <c r="Z971" s="151"/>
      <c r="AA971" s="151"/>
      <c r="AB971" s="151"/>
      <c r="AC971" s="151"/>
      <c r="AD971" s="151"/>
      <c r="AE971" s="151"/>
      <c r="AF971" s="151"/>
      <c r="AG971" s="151"/>
      <c r="AH971" s="151"/>
      <c r="AI971" s="151"/>
      <c r="AJ971" s="151"/>
      <c r="AK971" s="151"/>
      <c r="AL971" s="99"/>
      <c r="AM971" s="99"/>
      <c r="AN971" s="111"/>
      <c r="AO971" s="151"/>
    </row>
    <row r="972" spans="2:41" x14ac:dyDescent="0.15">
      <c r="D972" s="82"/>
      <c r="E972" s="129"/>
      <c r="F972" s="129"/>
      <c r="G972" s="129"/>
      <c r="H972" s="129"/>
      <c r="I972" s="129"/>
      <c r="J972" s="5"/>
      <c r="K972" s="69"/>
      <c r="L972" s="69"/>
      <c r="M972" s="69"/>
      <c r="N972" s="5"/>
      <c r="O972" s="69"/>
      <c r="P972" s="69"/>
      <c r="Q972" s="69"/>
      <c r="R972" s="69"/>
      <c r="S972" s="69"/>
      <c r="U972" s="292"/>
      <c r="V972" s="151"/>
      <c r="W972" s="151"/>
      <c r="X972" s="151"/>
      <c r="Y972" s="151"/>
      <c r="Z972" s="151"/>
      <c r="AA972" s="151"/>
      <c r="AB972" s="151"/>
      <c r="AC972" s="151"/>
      <c r="AD972" s="151"/>
      <c r="AE972" s="151"/>
      <c r="AF972" s="151"/>
      <c r="AG972" s="151"/>
      <c r="AH972" s="151"/>
      <c r="AI972" s="151"/>
      <c r="AJ972" s="151"/>
      <c r="AK972" s="151"/>
      <c r="AL972" s="113"/>
      <c r="AM972" s="113"/>
      <c r="AN972" s="114"/>
      <c r="AO972" s="151"/>
    </row>
    <row r="973" spans="2:41" x14ac:dyDescent="0.15">
      <c r="D973" s="82"/>
      <c r="E973" s="129"/>
      <c r="F973" s="129"/>
      <c r="G973" s="129"/>
      <c r="H973" s="129"/>
      <c r="I973" s="129"/>
      <c r="J973" s="5"/>
      <c r="K973" s="69"/>
      <c r="L973" s="69"/>
      <c r="M973" s="69"/>
      <c r="N973" s="5"/>
      <c r="O973" s="69"/>
      <c r="P973" s="69"/>
      <c r="Q973" s="69"/>
      <c r="R973" s="69"/>
      <c r="S973" s="69"/>
      <c r="U973" s="292"/>
      <c r="V973" s="151"/>
      <c r="W973" s="291"/>
      <c r="X973" s="5"/>
      <c r="Y973" s="5"/>
      <c r="Z973" s="5"/>
      <c r="AA973" s="5"/>
      <c r="AB973" s="5"/>
      <c r="AC973" s="284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108"/>
      <c r="AO973" s="151"/>
    </row>
    <row r="974" spans="2:41" x14ac:dyDescent="0.15">
      <c r="D974" s="82"/>
      <c r="E974" s="129"/>
      <c r="F974" s="129"/>
      <c r="G974" s="129"/>
      <c r="H974" s="129"/>
      <c r="I974" s="129"/>
      <c r="J974" s="5"/>
      <c r="K974" s="69"/>
      <c r="L974" s="69"/>
      <c r="M974" s="69"/>
      <c r="N974" s="5"/>
      <c r="O974" s="69"/>
      <c r="P974" s="69"/>
      <c r="Q974" s="69"/>
      <c r="R974" s="69"/>
      <c r="S974" s="69"/>
      <c r="U974" s="292"/>
      <c r="V974" s="151"/>
      <c r="W974" s="5"/>
      <c r="X974" s="173"/>
      <c r="Y974" s="36"/>
      <c r="Z974" s="36"/>
      <c r="AA974" s="36"/>
      <c r="AB974" s="36"/>
      <c r="AC974" s="36"/>
      <c r="AD974" s="36"/>
      <c r="AE974" s="36"/>
      <c r="AF974" s="173"/>
      <c r="AG974" s="36"/>
      <c r="AH974" s="36"/>
      <c r="AI974" s="36"/>
      <c r="AJ974" s="36"/>
      <c r="AK974" s="36"/>
      <c r="AL974" s="36"/>
      <c r="AM974" s="36"/>
      <c r="AN974" s="294"/>
      <c r="AO974" s="294"/>
    </row>
    <row r="975" spans="2:41" x14ac:dyDescent="0.15">
      <c r="D975" s="82"/>
      <c r="E975" s="129"/>
      <c r="F975" s="129"/>
      <c r="G975" s="129"/>
      <c r="H975" s="129"/>
      <c r="I975" s="129"/>
      <c r="J975" s="5"/>
      <c r="K975" s="69"/>
      <c r="L975" s="69"/>
      <c r="M975" s="69"/>
      <c r="N975" s="5"/>
      <c r="O975" s="69"/>
      <c r="P975" s="69"/>
      <c r="Q975" s="69"/>
      <c r="R975" s="69"/>
      <c r="S975" s="69"/>
      <c r="U975" s="292"/>
      <c r="V975" s="151"/>
      <c r="W975" s="5"/>
      <c r="X975" s="173"/>
      <c r="Y975" s="173"/>
      <c r="Z975" s="102"/>
      <c r="AA975" s="102"/>
      <c r="AB975" s="293"/>
      <c r="AC975" s="293"/>
      <c r="AD975" s="102"/>
      <c r="AE975" s="102"/>
      <c r="AF975" s="173"/>
      <c r="AG975" s="173"/>
      <c r="AH975" s="102"/>
      <c r="AI975" s="102"/>
      <c r="AJ975" s="293"/>
      <c r="AK975" s="293"/>
      <c r="AL975" s="102"/>
      <c r="AM975" s="102"/>
      <c r="AN975" s="294"/>
      <c r="AO975" s="294"/>
    </row>
    <row r="976" spans="2:41" x14ac:dyDescent="0.15">
      <c r="D976" s="82"/>
      <c r="E976" s="129"/>
      <c r="F976" s="129"/>
      <c r="G976" s="129"/>
      <c r="H976" s="129"/>
      <c r="I976" s="129"/>
      <c r="J976" s="5"/>
      <c r="K976" s="69"/>
      <c r="L976" s="69"/>
      <c r="M976" s="69"/>
      <c r="N976" s="5"/>
      <c r="O976" s="69"/>
      <c r="P976" s="69"/>
      <c r="Q976" s="69"/>
      <c r="R976" s="69"/>
      <c r="S976" s="69"/>
      <c r="U976" s="292"/>
      <c r="V976" s="151"/>
      <c r="W976" s="285"/>
      <c r="X976" s="173"/>
      <c r="Y976" s="99"/>
      <c r="Z976" s="173"/>
      <c r="AA976" s="99"/>
      <c r="AB976" s="110"/>
      <c r="AC976" s="99"/>
      <c r="AD976" s="99"/>
      <c r="AE976" s="99"/>
      <c r="AF976" s="173"/>
      <c r="AG976" s="295"/>
      <c r="AH976" s="173"/>
      <c r="AI976" s="295"/>
      <c r="AJ976" s="110"/>
      <c r="AK976" s="295"/>
      <c r="AL976" s="99"/>
      <c r="AM976" s="295"/>
      <c r="AN976" s="111"/>
      <c r="AO976" s="294"/>
    </row>
    <row r="977" spans="2:41" x14ac:dyDescent="0.15">
      <c r="D977" s="82"/>
      <c r="E977" s="129"/>
      <c r="F977" s="129"/>
      <c r="G977" s="129"/>
      <c r="H977" s="129"/>
      <c r="I977" s="129"/>
      <c r="J977" s="5"/>
      <c r="K977" s="69"/>
      <c r="L977" s="69"/>
      <c r="M977" s="69"/>
      <c r="N977" s="5"/>
      <c r="O977" s="69"/>
      <c r="P977" s="69"/>
      <c r="Q977" s="69"/>
      <c r="R977" s="69"/>
      <c r="S977" s="69"/>
      <c r="U977" s="292"/>
      <c r="V977" s="151"/>
      <c r="W977" s="285"/>
      <c r="X977" s="173"/>
      <c r="Y977" s="57"/>
      <c r="Z977" s="172"/>
      <c r="AA977" s="57"/>
      <c r="AB977" s="57"/>
      <c r="AC977" s="57"/>
      <c r="AD977" s="57"/>
      <c r="AE977" s="57"/>
      <c r="AF977" s="173"/>
      <c r="AG977" s="295"/>
      <c r="AH977" s="172"/>
      <c r="AI977" s="295"/>
      <c r="AJ977" s="57"/>
      <c r="AK977" s="295"/>
      <c r="AL977" s="57"/>
      <c r="AM977" s="295"/>
      <c r="AN977" s="111"/>
      <c r="AO977" s="294"/>
    </row>
    <row r="978" spans="2:41" x14ac:dyDescent="0.15">
      <c r="D978" s="82"/>
      <c r="E978" s="129"/>
      <c r="F978" s="129"/>
      <c r="G978" s="129"/>
      <c r="H978" s="129"/>
      <c r="I978" s="129"/>
      <c r="J978" s="5"/>
      <c r="K978" s="69"/>
      <c r="L978" s="69"/>
      <c r="M978" s="69"/>
      <c r="N978" s="5"/>
      <c r="O978" s="69"/>
      <c r="P978" s="69"/>
      <c r="Q978" s="69"/>
      <c r="R978" s="69"/>
      <c r="S978" s="69"/>
      <c r="U978" s="292"/>
      <c r="V978" s="151"/>
      <c r="W978" s="285"/>
      <c r="X978" s="173"/>
      <c r="Y978" s="99"/>
      <c r="Z978" s="173"/>
      <c r="AA978" s="99"/>
      <c r="AB978" s="110"/>
      <c r="AC978" s="99"/>
      <c r="AD978" s="99"/>
      <c r="AE978" s="99"/>
      <c r="AF978" s="173"/>
      <c r="AG978" s="99"/>
      <c r="AH978" s="173"/>
      <c r="AI978" s="99"/>
      <c r="AJ978" s="110"/>
      <c r="AK978" s="99"/>
      <c r="AL978" s="99"/>
      <c r="AM978" s="99"/>
      <c r="AN978" s="111"/>
      <c r="AO978" s="99"/>
    </row>
    <row r="979" spans="2:41" x14ac:dyDescent="0.15">
      <c r="D979" s="82"/>
      <c r="E979" s="129"/>
      <c r="F979" s="129"/>
      <c r="G979" s="129"/>
      <c r="H979" s="129"/>
      <c r="I979" s="129"/>
      <c r="J979" s="5"/>
      <c r="K979" s="69"/>
      <c r="L979" s="69"/>
      <c r="M979" s="69"/>
      <c r="N979" s="5"/>
      <c r="O979" s="69"/>
      <c r="P979" s="69"/>
      <c r="Q979" s="69"/>
      <c r="R979" s="69"/>
      <c r="S979" s="69"/>
      <c r="U979" s="292"/>
      <c r="V979" s="151"/>
      <c r="W979" s="285"/>
      <c r="X979" s="173"/>
      <c r="Y979" s="57"/>
      <c r="Z979" s="172"/>
      <c r="AA979" s="57"/>
      <c r="AB979" s="57"/>
      <c r="AC979" s="57"/>
      <c r="AD979" s="57"/>
      <c r="AE979" s="57"/>
      <c r="AF979" s="173"/>
      <c r="AG979" s="57"/>
      <c r="AH979" s="172"/>
      <c r="AI979" s="57"/>
      <c r="AJ979" s="57"/>
      <c r="AK979" s="57"/>
      <c r="AL979" s="57"/>
      <c r="AM979" s="57"/>
      <c r="AN979" s="109"/>
      <c r="AO979" s="57"/>
    </row>
    <row r="980" spans="2:41" x14ac:dyDescent="0.15">
      <c r="D980" s="82"/>
      <c r="E980" s="129"/>
      <c r="F980" s="129"/>
      <c r="G980" s="129"/>
      <c r="H980" s="129"/>
      <c r="I980" s="129"/>
      <c r="J980" s="5"/>
      <c r="K980" s="69"/>
      <c r="L980" s="69"/>
      <c r="M980" s="69"/>
      <c r="N980" s="5"/>
      <c r="O980" s="69"/>
      <c r="P980" s="69"/>
      <c r="Q980" s="69"/>
      <c r="R980" s="69"/>
      <c r="S980" s="69"/>
      <c r="U980" s="292"/>
      <c r="V980" s="151"/>
      <c r="W980" s="36"/>
      <c r="X980" s="173"/>
      <c r="Y980" s="99"/>
      <c r="Z980" s="173"/>
      <c r="AA980" s="99"/>
      <c r="AB980" s="110"/>
      <c r="AC980" s="99"/>
      <c r="AD980" s="99"/>
      <c r="AE980" s="99"/>
      <c r="AF980" s="173"/>
      <c r="AG980" s="99"/>
      <c r="AH980" s="173"/>
      <c r="AI980" s="99"/>
      <c r="AJ980" s="110"/>
      <c r="AK980" s="99"/>
      <c r="AL980" s="99"/>
      <c r="AM980" s="99"/>
      <c r="AN980" s="111"/>
      <c r="AO980" s="99"/>
    </row>
    <row r="981" spans="2:41" s="151" customFormat="1" x14ac:dyDescent="0.15">
      <c r="B981" s="5"/>
      <c r="C981" s="5"/>
      <c r="D981" s="5"/>
      <c r="E981" s="5"/>
      <c r="F981" s="5"/>
      <c r="G981" s="5"/>
      <c r="H981" s="5"/>
      <c r="I981" s="5"/>
      <c r="J981" s="5"/>
      <c r="K981" s="69"/>
      <c r="L981" s="5"/>
      <c r="M981" s="5"/>
      <c r="N981" s="5"/>
      <c r="O981" s="69"/>
      <c r="P981" s="5"/>
      <c r="Q981" s="5"/>
      <c r="R981" s="5"/>
      <c r="S981" s="5"/>
      <c r="U981" s="292"/>
      <c r="W981" s="36"/>
      <c r="X981" s="173"/>
      <c r="Y981" s="57"/>
      <c r="Z981" s="172"/>
      <c r="AA981" s="57"/>
      <c r="AB981" s="57"/>
      <c r="AC981" s="57"/>
      <c r="AD981" s="57"/>
      <c r="AE981" s="57"/>
      <c r="AF981" s="173"/>
      <c r="AG981" s="57"/>
      <c r="AH981" s="172"/>
      <c r="AI981" s="57"/>
      <c r="AJ981" s="57"/>
      <c r="AK981" s="57"/>
      <c r="AL981" s="57"/>
      <c r="AM981" s="57"/>
      <c r="AN981" s="109"/>
      <c r="AO981" s="57"/>
    </row>
    <row r="982" spans="2:41" s="151" customFormat="1" x14ac:dyDescent="0.15"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U982" s="292"/>
      <c r="W982" s="175"/>
      <c r="X982" s="173"/>
      <c r="Y982" s="99"/>
      <c r="Z982" s="173"/>
      <c r="AA982" s="99"/>
      <c r="AB982" s="110"/>
      <c r="AC982" s="99"/>
      <c r="AD982" s="99"/>
      <c r="AE982" s="99"/>
      <c r="AF982" s="173"/>
      <c r="AG982" s="99"/>
      <c r="AH982" s="173"/>
      <c r="AI982" s="99"/>
      <c r="AJ982" s="110"/>
      <c r="AK982" s="99"/>
      <c r="AL982" s="99"/>
      <c r="AM982" s="99"/>
      <c r="AN982" s="111"/>
      <c r="AO982" s="99"/>
    </row>
    <row r="983" spans="2:41" s="151" customFormat="1" x14ac:dyDescent="0.15">
      <c r="B983" s="5"/>
      <c r="C983" s="5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173"/>
      <c r="U983" s="292"/>
      <c r="W983" s="175"/>
      <c r="X983" s="173"/>
      <c r="Y983" s="57"/>
      <c r="Z983" s="172"/>
      <c r="AA983" s="57"/>
      <c r="AB983" s="57"/>
      <c r="AC983" s="57"/>
      <c r="AD983" s="57"/>
      <c r="AE983" s="57"/>
      <c r="AF983" s="173"/>
      <c r="AG983" s="57"/>
      <c r="AH983" s="172"/>
      <c r="AI983" s="57"/>
      <c r="AJ983" s="57"/>
      <c r="AK983" s="57"/>
      <c r="AL983" s="57"/>
      <c r="AM983" s="57"/>
      <c r="AN983" s="109"/>
      <c r="AO983" s="57"/>
    </row>
    <row r="984" spans="2:41" s="151" customFormat="1" ht="13.5" customHeight="1" x14ac:dyDescent="0.15">
      <c r="B984" s="5"/>
      <c r="C984" s="5"/>
      <c r="D984" s="36"/>
      <c r="E984" s="36"/>
      <c r="F984" s="36"/>
      <c r="G984" s="36"/>
      <c r="H984" s="36"/>
      <c r="I984" s="36"/>
      <c r="J984" s="174"/>
      <c r="K984" s="173"/>
      <c r="L984" s="102"/>
      <c r="M984" s="102"/>
      <c r="N984" s="174"/>
      <c r="O984" s="173"/>
      <c r="P984" s="102"/>
      <c r="Q984" s="102"/>
      <c r="R984" s="172"/>
      <c r="S984" s="172"/>
      <c r="U984" s="292"/>
      <c r="W984" s="285"/>
      <c r="X984" s="173"/>
      <c r="Y984" s="99"/>
      <c r="Z984" s="57"/>
      <c r="AA984" s="99"/>
      <c r="AB984" s="110"/>
      <c r="AC984" s="99"/>
      <c r="AD984" s="99"/>
      <c r="AE984" s="99"/>
      <c r="AF984" s="173"/>
      <c r="AG984" s="99"/>
      <c r="AH984" s="57"/>
      <c r="AI984" s="99"/>
      <c r="AJ984" s="110"/>
      <c r="AK984" s="99"/>
      <c r="AL984" s="99"/>
      <c r="AM984" s="99"/>
      <c r="AN984" s="111"/>
      <c r="AO984" s="99"/>
    </row>
    <row r="985" spans="2:41" s="151" customFormat="1" x14ac:dyDescent="0.15">
      <c r="B985" s="5"/>
      <c r="C985" s="285"/>
      <c r="D985" s="36"/>
      <c r="E985" s="279"/>
      <c r="F985" s="279"/>
      <c r="G985" s="279"/>
      <c r="H985" s="279"/>
      <c r="I985" s="279"/>
      <c r="J985" s="142"/>
      <c r="K985" s="5"/>
      <c r="L985" s="142"/>
      <c r="M985" s="5"/>
      <c r="N985" s="142"/>
      <c r="O985" s="5"/>
      <c r="P985" s="142"/>
      <c r="Q985" s="5"/>
      <c r="R985" s="5"/>
      <c r="S985" s="5"/>
      <c r="U985" s="292"/>
      <c r="W985" s="285"/>
      <c r="X985" s="173"/>
      <c r="Y985" s="57"/>
      <c r="Z985" s="172"/>
      <c r="AA985" s="57"/>
      <c r="AB985" s="57"/>
      <c r="AC985" s="57"/>
      <c r="AD985" s="57"/>
      <c r="AE985" s="57"/>
      <c r="AF985" s="173"/>
      <c r="AG985" s="57"/>
      <c r="AH985" s="172"/>
      <c r="AI985" s="57"/>
      <c r="AJ985" s="57"/>
      <c r="AK985" s="57"/>
      <c r="AL985" s="57"/>
      <c r="AM985" s="57"/>
      <c r="AN985" s="109"/>
      <c r="AO985" s="57"/>
    </row>
    <row r="986" spans="2:41" s="151" customFormat="1" ht="13.5" customHeight="1" x14ac:dyDescent="0.15">
      <c r="B986" s="5"/>
      <c r="C986" s="285"/>
      <c r="D986" s="36"/>
      <c r="E986" s="279"/>
      <c r="F986" s="279"/>
      <c r="G986" s="279"/>
      <c r="H986" s="279"/>
      <c r="I986" s="279"/>
      <c r="J986" s="113"/>
      <c r="K986" s="57"/>
      <c r="L986" s="113"/>
      <c r="M986" s="57"/>
      <c r="N986" s="113"/>
      <c r="O986" s="57"/>
      <c r="P986" s="113"/>
      <c r="Q986" s="57"/>
      <c r="R986" s="113"/>
      <c r="S986" s="113"/>
      <c r="U986" s="292"/>
      <c r="W986" s="175"/>
      <c r="X986" s="174"/>
      <c r="Y986" s="99"/>
      <c r="Z986" s="5"/>
      <c r="AA986" s="99"/>
      <c r="AB986" s="57"/>
      <c r="AC986" s="99"/>
      <c r="AD986" s="99"/>
      <c r="AE986" s="99"/>
      <c r="AF986" s="174"/>
      <c r="AG986" s="99"/>
      <c r="AH986" s="5"/>
      <c r="AI986" s="99"/>
      <c r="AJ986" s="57"/>
      <c r="AK986" s="99"/>
      <c r="AL986" s="99"/>
      <c r="AM986" s="99"/>
      <c r="AN986" s="111"/>
      <c r="AO986" s="99"/>
    </row>
    <row r="987" spans="2:41" s="151" customFormat="1" ht="13.5" customHeight="1" x14ac:dyDescent="0.15">
      <c r="B987" s="5"/>
      <c r="C987" s="285"/>
      <c r="D987" s="36"/>
      <c r="E987" s="279"/>
      <c r="F987" s="279"/>
      <c r="G987" s="279"/>
      <c r="H987" s="279"/>
      <c r="I987" s="279"/>
      <c r="J987" s="142"/>
      <c r="K987" s="5"/>
      <c r="L987" s="142"/>
      <c r="M987" s="5"/>
      <c r="N987" s="142"/>
      <c r="O987" s="5"/>
      <c r="P987" s="142"/>
      <c r="Q987" s="5"/>
      <c r="R987" s="5"/>
      <c r="S987" s="5"/>
      <c r="U987" s="292"/>
      <c r="W987" s="175"/>
      <c r="X987" s="174"/>
      <c r="Y987" s="57"/>
      <c r="Z987" s="172"/>
      <c r="AA987" s="57"/>
      <c r="AB987" s="57"/>
      <c r="AC987" s="57"/>
      <c r="AD987" s="57"/>
      <c r="AE987" s="57"/>
      <c r="AF987" s="174"/>
      <c r="AG987" s="57"/>
      <c r="AH987" s="172"/>
      <c r="AI987" s="57"/>
      <c r="AJ987" s="57"/>
      <c r="AK987" s="57"/>
      <c r="AL987" s="57"/>
      <c r="AM987" s="57"/>
      <c r="AN987" s="109"/>
      <c r="AO987" s="57"/>
    </row>
    <row r="988" spans="2:41" s="151" customFormat="1" ht="13.5" customHeight="1" x14ac:dyDescent="0.15">
      <c r="B988" s="5"/>
      <c r="C988" s="285"/>
      <c r="D988" s="36"/>
      <c r="E988" s="279"/>
      <c r="F988" s="279"/>
      <c r="G988" s="279"/>
      <c r="H988" s="279"/>
      <c r="I988" s="279"/>
      <c r="J988" s="113"/>
      <c r="K988" s="57"/>
      <c r="L988" s="113"/>
      <c r="M988" s="57"/>
      <c r="N988" s="113"/>
      <c r="O988" s="57"/>
      <c r="P988" s="113"/>
      <c r="Q988" s="57"/>
      <c r="R988" s="113"/>
      <c r="S988" s="113"/>
      <c r="U988" s="292"/>
      <c r="W988" s="285"/>
      <c r="X988" s="174"/>
      <c r="Y988" s="99"/>
      <c r="Z988" s="5"/>
      <c r="AA988" s="99"/>
      <c r="AB988" s="57"/>
      <c r="AC988" s="99"/>
      <c r="AD988" s="99"/>
      <c r="AE988" s="99"/>
      <c r="AF988" s="174"/>
      <c r="AG988" s="99"/>
      <c r="AH988" s="5"/>
      <c r="AI988" s="99"/>
      <c r="AJ988" s="57"/>
      <c r="AK988" s="99"/>
      <c r="AL988" s="99"/>
      <c r="AM988" s="99"/>
      <c r="AN988" s="111"/>
      <c r="AO988" s="295"/>
    </row>
    <row r="989" spans="2:41" s="151" customFormat="1" ht="13.5" customHeight="1" x14ac:dyDescent="0.15">
      <c r="B989" s="5"/>
      <c r="C989" s="285"/>
      <c r="D989" s="36"/>
      <c r="E989" s="279"/>
      <c r="F989" s="279"/>
      <c r="G989" s="279"/>
      <c r="H989" s="279"/>
      <c r="I989" s="279"/>
      <c r="J989" s="142"/>
      <c r="K989" s="5"/>
      <c r="L989" s="142"/>
      <c r="M989" s="5"/>
      <c r="N989" s="142"/>
      <c r="O989" s="5"/>
      <c r="P989" s="142"/>
      <c r="Q989" s="5"/>
      <c r="R989" s="5"/>
      <c r="S989" s="5"/>
      <c r="U989" s="292"/>
      <c r="W989" s="285"/>
      <c r="X989" s="174"/>
      <c r="Y989" s="57"/>
      <c r="Z989" s="172"/>
      <c r="AA989" s="57"/>
      <c r="AB989" s="57"/>
      <c r="AC989" s="57"/>
      <c r="AD989" s="57"/>
      <c r="AE989" s="57"/>
      <c r="AF989" s="174"/>
      <c r="AG989" s="57"/>
      <c r="AH989" s="172"/>
      <c r="AI989" s="57"/>
      <c r="AJ989" s="57"/>
      <c r="AK989" s="57"/>
      <c r="AL989" s="57"/>
      <c r="AM989" s="57"/>
      <c r="AN989" s="109"/>
      <c r="AO989" s="295"/>
    </row>
    <row r="990" spans="2:41" s="151" customFormat="1" ht="13.5" customHeight="1" x14ac:dyDescent="0.15">
      <c r="B990" s="5"/>
      <c r="C990" s="285"/>
      <c r="D990" s="36"/>
      <c r="E990" s="279"/>
      <c r="F990" s="279"/>
      <c r="G990" s="279"/>
      <c r="H990" s="279"/>
      <c r="I990" s="279"/>
      <c r="J990" s="113"/>
      <c r="K990" s="57"/>
      <c r="L990" s="113"/>
      <c r="M990" s="57"/>
      <c r="N990" s="113"/>
      <c r="O990" s="57"/>
      <c r="P990" s="113"/>
      <c r="Q990" s="57"/>
      <c r="R990" s="113"/>
      <c r="S990" s="113"/>
      <c r="U990" s="292"/>
      <c r="W990" s="36"/>
      <c r="X990" s="174"/>
      <c r="Y990" s="99"/>
      <c r="Z990" s="5"/>
      <c r="AA990" s="99"/>
      <c r="AB990" s="57"/>
      <c r="AC990" s="99"/>
      <c r="AD990" s="99"/>
      <c r="AE990" s="99"/>
      <c r="AF990" s="174"/>
      <c r="AG990" s="99"/>
      <c r="AH990" s="5"/>
      <c r="AI990" s="99"/>
      <c r="AJ990" s="57"/>
      <c r="AK990" s="99"/>
      <c r="AL990" s="99"/>
      <c r="AM990" s="99"/>
      <c r="AN990" s="111"/>
      <c r="AO990" s="295"/>
    </row>
    <row r="991" spans="2:41" s="151" customFormat="1" ht="14.25" customHeight="1" x14ac:dyDescent="0.15">
      <c r="B991" s="5"/>
      <c r="C991" s="285"/>
      <c r="D991" s="36"/>
      <c r="E991" s="279"/>
      <c r="F991" s="279"/>
      <c r="G991" s="279"/>
      <c r="H991" s="279"/>
      <c r="I991" s="279"/>
      <c r="J991" s="142"/>
      <c r="K991" s="5"/>
      <c r="L991" s="142"/>
      <c r="M991" s="5"/>
      <c r="N991" s="142"/>
      <c r="O991" s="5"/>
      <c r="P991" s="142"/>
      <c r="Q991" s="5"/>
      <c r="R991" s="5"/>
      <c r="S991" s="5"/>
      <c r="U991" s="292"/>
      <c r="W991" s="36"/>
      <c r="X991" s="174"/>
      <c r="Y991" s="57"/>
      <c r="Z991" s="172"/>
      <c r="AA991" s="57"/>
      <c r="AB991" s="57"/>
      <c r="AC991" s="57"/>
      <c r="AD991" s="57"/>
      <c r="AE991" s="57"/>
      <c r="AF991" s="174"/>
      <c r="AG991" s="57"/>
      <c r="AH991" s="172"/>
      <c r="AI991" s="57"/>
      <c r="AJ991" s="57"/>
      <c r="AK991" s="57"/>
      <c r="AL991" s="57"/>
      <c r="AM991" s="57"/>
      <c r="AN991" s="109"/>
      <c r="AO991" s="295"/>
    </row>
    <row r="992" spans="2:41" s="151" customFormat="1" ht="13.5" customHeight="1" x14ac:dyDescent="0.15">
      <c r="B992" s="5"/>
      <c r="C992" s="285"/>
      <c r="D992" s="36"/>
      <c r="E992" s="279"/>
      <c r="F992" s="279"/>
      <c r="G992" s="279"/>
      <c r="H992" s="279"/>
      <c r="I992" s="279"/>
      <c r="J992" s="113"/>
      <c r="K992" s="57"/>
      <c r="L992" s="113"/>
      <c r="M992" s="57"/>
      <c r="N992" s="113"/>
      <c r="O992" s="57"/>
      <c r="P992" s="113"/>
      <c r="Q992" s="57"/>
      <c r="R992" s="113"/>
      <c r="S992" s="113"/>
      <c r="U992" s="292"/>
      <c r="W992" s="36"/>
      <c r="X992" s="5"/>
      <c r="Y992" s="99"/>
      <c r="Z992" s="99"/>
      <c r="AA992" s="99"/>
      <c r="AB992" s="99"/>
      <c r="AC992" s="99"/>
      <c r="AD992" s="99"/>
      <c r="AE992" s="99"/>
      <c r="AF992" s="5"/>
      <c r="AG992" s="99"/>
      <c r="AH992" s="99"/>
      <c r="AI992" s="99"/>
      <c r="AJ992" s="99"/>
      <c r="AK992" s="99"/>
      <c r="AL992" s="99"/>
      <c r="AM992" s="99"/>
      <c r="AN992" s="111"/>
      <c r="AO992" s="99"/>
    </row>
    <row r="993" spans="2:41" s="151" customFormat="1" ht="13.5" customHeight="1" x14ac:dyDescent="0.15">
      <c r="B993" s="5"/>
      <c r="C993" s="285"/>
      <c r="D993" s="36"/>
      <c r="E993" s="279"/>
      <c r="F993" s="279"/>
      <c r="G993" s="279"/>
      <c r="H993" s="279"/>
      <c r="I993" s="279"/>
      <c r="J993" s="142"/>
      <c r="K993" s="5"/>
      <c r="L993" s="142"/>
      <c r="M993" s="5"/>
      <c r="N993" s="142"/>
      <c r="O993" s="5"/>
      <c r="P993" s="142"/>
      <c r="Q993" s="5"/>
      <c r="R993" s="5"/>
      <c r="S993" s="5"/>
      <c r="U993" s="292"/>
      <c r="W993" s="36"/>
      <c r="X993" s="5"/>
      <c r="Y993" s="115"/>
      <c r="Z993" s="113"/>
      <c r="AA993" s="115"/>
      <c r="AB993" s="113"/>
      <c r="AC993" s="115"/>
      <c r="AD993" s="113"/>
      <c r="AE993" s="115"/>
      <c r="AF993" s="5"/>
      <c r="AG993" s="115"/>
      <c r="AH993" s="113"/>
      <c r="AI993" s="115"/>
      <c r="AJ993" s="113"/>
      <c r="AK993" s="115"/>
      <c r="AL993" s="113"/>
      <c r="AM993" s="115"/>
      <c r="AN993" s="116"/>
      <c r="AO993" s="115"/>
    </row>
    <row r="994" spans="2:41" s="151" customFormat="1" x14ac:dyDescent="0.15">
      <c r="B994" s="5"/>
      <c r="C994" s="285"/>
      <c r="D994" s="36"/>
      <c r="E994" s="279"/>
      <c r="F994" s="279"/>
      <c r="G994" s="279"/>
      <c r="H994" s="279"/>
      <c r="I994" s="279"/>
      <c r="J994" s="113"/>
      <c r="K994" s="57"/>
      <c r="L994" s="113"/>
      <c r="M994" s="57"/>
      <c r="N994" s="113"/>
      <c r="O994" s="57"/>
      <c r="P994" s="113"/>
      <c r="Q994" s="57"/>
      <c r="R994" s="113"/>
      <c r="S994" s="113"/>
      <c r="U994" s="292"/>
      <c r="AN994" s="280"/>
    </row>
    <row r="995" spans="2:41" s="151" customFormat="1" ht="13.5" customHeight="1" x14ac:dyDescent="0.15">
      <c r="B995" s="5"/>
      <c r="C995" s="285"/>
      <c r="D995" s="36"/>
      <c r="E995" s="279"/>
      <c r="F995" s="279"/>
      <c r="G995" s="279"/>
      <c r="H995" s="279"/>
      <c r="I995" s="279"/>
      <c r="J995" s="142"/>
      <c r="K995" s="5"/>
      <c r="L995" s="142"/>
      <c r="M995" s="5"/>
      <c r="N995" s="142"/>
      <c r="O995" s="5"/>
      <c r="P995" s="142"/>
      <c r="Q995" s="5"/>
      <c r="R995" s="5"/>
      <c r="S995" s="5"/>
      <c r="U995" s="292"/>
      <c r="AN995" s="280"/>
    </row>
    <row r="996" spans="2:41" s="151" customFormat="1" ht="14.25" customHeight="1" x14ac:dyDescent="0.15">
      <c r="B996" s="5"/>
      <c r="C996" s="285"/>
      <c r="D996" s="36"/>
      <c r="E996" s="279"/>
      <c r="F996" s="279"/>
      <c r="G996" s="279"/>
      <c r="H996" s="279"/>
      <c r="I996" s="279"/>
      <c r="J996" s="113"/>
      <c r="K996" s="57"/>
      <c r="L996" s="113"/>
      <c r="M996" s="57"/>
      <c r="N996" s="113"/>
      <c r="O996" s="57"/>
      <c r="P996" s="113"/>
      <c r="Q996" s="57"/>
      <c r="R996" s="113"/>
      <c r="S996" s="113"/>
      <c r="U996" s="292"/>
      <c r="W996" s="291"/>
      <c r="X996" s="5"/>
      <c r="Y996" s="5"/>
      <c r="Z996" s="5"/>
      <c r="AA996" s="5"/>
      <c r="AB996" s="5"/>
      <c r="AC996" s="284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108"/>
    </row>
    <row r="997" spans="2:41" s="151" customFormat="1" ht="13.5" customHeight="1" x14ac:dyDescent="0.15">
      <c r="B997" s="5"/>
      <c r="C997" s="285"/>
      <c r="D997" s="36"/>
      <c r="E997" s="279"/>
      <c r="F997" s="279"/>
      <c r="G997" s="279"/>
      <c r="H997" s="279"/>
      <c r="I997" s="279"/>
      <c r="J997" s="142"/>
      <c r="K997" s="5"/>
      <c r="L997" s="142"/>
      <c r="M997" s="5"/>
      <c r="N997" s="142"/>
      <c r="O997" s="5"/>
      <c r="P997" s="142"/>
      <c r="Q997" s="5"/>
      <c r="R997" s="5"/>
      <c r="S997" s="5"/>
      <c r="U997" s="292"/>
      <c r="W997" s="5"/>
      <c r="X997" s="173"/>
      <c r="Y997" s="36"/>
      <c r="Z997" s="36"/>
      <c r="AA997" s="36"/>
      <c r="AB997" s="36"/>
      <c r="AC997" s="36"/>
      <c r="AD997" s="36"/>
      <c r="AE997" s="36"/>
      <c r="AF997" s="173"/>
      <c r="AG997" s="36"/>
      <c r="AH997" s="36"/>
      <c r="AI997" s="36"/>
      <c r="AJ997" s="36"/>
      <c r="AK997" s="36"/>
      <c r="AL997" s="36"/>
      <c r="AM997" s="36"/>
      <c r="AN997" s="294"/>
      <c r="AO997" s="294"/>
    </row>
    <row r="998" spans="2:41" s="151" customFormat="1" ht="13.5" customHeight="1" x14ac:dyDescent="0.15">
      <c r="B998" s="5"/>
      <c r="C998" s="285"/>
      <c r="D998" s="36"/>
      <c r="E998" s="279"/>
      <c r="F998" s="279"/>
      <c r="G998" s="279"/>
      <c r="H998" s="279"/>
      <c r="I998" s="279"/>
      <c r="J998" s="113"/>
      <c r="K998" s="57"/>
      <c r="L998" s="113"/>
      <c r="M998" s="57"/>
      <c r="N998" s="113"/>
      <c r="O998" s="57"/>
      <c r="P998" s="113"/>
      <c r="Q998" s="57"/>
      <c r="R998" s="113"/>
      <c r="S998" s="113"/>
      <c r="U998" s="292"/>
      <c r="W998" s="5"/>
      <c r="X998" s="173"/>
      <c r="Y998" s="173"/>
      <c r="Z998" s="102"/>
      <c r="AA998" s="102"/>
      <c r="AB998" s="293"/>
      <c r="AC998" s="293"/>
      <c r="AD998" s="102"/>
      <c r="AE998" s="102"/>
      <c r="AF998" s="173"/>
      <c r="AG998" s="173"/>
      <c r="AH998" s="102"/>
      <c r="AI998" s="102"/>
      <c r="AJ998" s="293"/>
      <c r="AK998" s="293"/>
      <c r="AL998" s="102"/>
      <c r="AM998" s="102"/>
      <c r="AN998" s="294"/>
      <c r="AO998" s="294"/>
    </row>
    <row r="999" spans="2:41" s="151" customFormat="1" ht="13.5" customHeight="1" x14ac:dyDescent="0.15">
      <c r="B999" s="5"/>
      <c r="C999" s="285"/>
      <c r="D999" s="36"/>
      <c r="E999" s="279"/>
      <c r="F999" s="279"/>
      <c r="G999" s="279"/>
      <c r="H999" s="279"/>
      <c r="I999" s="279"/>
      <c r="J999" s="142"/>
      <c r="K999" s="5"/>
      <c r="L999" s="142"/>
      <c r="M999" s="5"/>
      <c r="N999" s="142"/>
      <c r="O999" s="5"/>
      <c r="P999" s="142"/>
      <c r="Q999" s="5"/>
      <c r="R999" s="5"/>
      <c r="S999" s="5"/>
      <c r="U999" s="292"/>
      <c r="W999" s="285"/>
      <c r="X999" s="173"/>
      <c r="Y999" s="99"/>
      <c r="Z999" s="173"/>
      <c r="AA999" s="99"/>
      <c r="AB999" s="110"/>
      <c r="AC999" s="99"/>
      <c r="AD999" s="99"/>
      <c r="AE999" s="99"/>
      <c r="AF999" s="173"/>
      <c r="AG999" s="295"/>
      <c r="AH999" s="173"/>
      <c r="AI999" s="295"/>
      <c r="AJ999" s="110"/>
      <c r="AK999" s="295"/>
      <c r="AL999" s="99"/>
      <c r="AM999" s="295"/>
      <c r="AN999" s="111"/>
      <c r="AO999" s="294"/>
    </row>
    <row r="1000" spans="2:41" s="151" customFormat="1" ht="13.5" customHeight="1" x14ac:dyDescent="0.15">
      <c r="B1000" s="5"/>
      <c r="C1000" s="285"/>
      <c r="D1000" s="36"/>
      <c r="E1000" s="279"/>
      <c r="F1000" s="279"/>
      <c r="G1000" s="279"/>
      <c r="H1000" s="279"/>
      <c r="I1000" s="279"/>
      <c r="J1000" s="113"/>
      <c r="K1000" s="57"/>
      <c r="L1000" s="113"/>
      <c r="M1000" s="57"/>
      <c r="N1000" s="113"/>
      <c r="O1000" s="57"/>
      <c r="P1000" s="113"/>
      <c r="Q1000" s="57"/>
      <c r="R1000" s="113"/>
      <c r="S1000" s="113"/>
      <c r="U1000" s="292"/>
      <c r="W1000" s="285"/>
      <c r="X1000" s="173"/>
      <c r="Y1000" s="57"/>
      <c r="Z1000" s="172"/>
      <c r="AA1000" s="57"/>
      <c r="AB1000" s="57"/>
      <c r="AC1000" s="57"/>
      <c r="AD1000" s="57"/>
      <c r="AE1000" s="57"/>
      <c r="AF1000" s="173"/>
      <c r="AG1000" s="295"/>
      <c r="AH1000" s="172"/>
      <c r="AI1000" s="295"/>
      <c r="AJ1000" s="57"/>
      <c r="AK1000" s="295"/>
      <c r="AL1000" s="57"/>
      <c r="AM1000" s="295"/>
      <c r="AN1000" s="111"/>
      <c r="AO1000" s="294"/>
    </row>
    <row r="1001" spans="2:41" s="151" customFormat="1" ht="13.5" customHeight="1" x14ac:dyDescent="0.15">
      <c r="B1001" s="5"/>
      <c r="C1001" s="285"/>
      <c r="D1001" s="36"/>
      <c r="E1001" s="279"/>
      <c r="F1001" s="279"/>
      <c r="G1001" s="279"/>
      <c r="H1001" s="279"/>
      <c r="I1001" s="279"/>
      <c r="J1001" s="142"/>
      <c r="K1001" s="5"/>
      <c r="L1001" s="297"/>
      <c r="M1001" s="5"/>
      <c r="N1001" s="142"/>
      <c r="O1001" s="5"/>
      <c r="P1001" s="297"/>
      <c r="Q1001" s="5"/>
      <c r="R1001" s="5"/>
      <c r="S1001" s="5"/>
      <c r="U1001" s="292"/>
      <c r="W1001" s="285"/>
      <c r="X1001" s="173"/>
      <c r="Y1001" s="99"/>
      <c r="Z1001" s="173"/>
      <c r="AA1001" s="99"/>
      <c r="AB1001" s="110"/>
      <c r="AC1001" s="99"/>
      <c r="AD1001" s="99"/>
      <c r="AE1001" s="99"/>
      <c r="AF1001" s="173"/>
      <c r="AG1001" s="99"/>
      <c r="AH1001" s="173"/>
      <c r="AI1001" s="99"/>
      <c r="AJ1001" s="110"/>
      <c r="AK1001" s="99"/>
      <c r="AL1001" s="99"/>
      <c r="AM1001" s="99"/>
      <c r="AN1001" s="111"/>
      <c r="AO1001" s="99"/>
    </row>
    <row r="1002" spans="2:41" s="151" customFormat="1" ht="13.5" customHeight="1" x14ac:dyDescent="0.15">
      <c r="B1002" s="5"/>
      <c r="C1002" s="285"/>
      <c r="D1002" s="36"/>
      <c r="E1002" s="279"/>
      <c r="F1002" s="279"/>
      <c r="G1002" s="279"/>
      <c r="H1002" s="279"/>
      <c r="I1002" s="279"/>
      <c r="J1002" s="113"/>
      <c r="K1002" s="57"/>
      <c r="L1002" s="113"/>
      <c r="M1002" s="57"/>
      <c r="N1002" s="113"/>
      <c r="O1002" s="57"/>
      <c r="P1002" s="113"/>
      <c r="Q1002" s="57"/>
      <c r="R1002" s="113"/>
      <c r="S1002" s="113"/>
      <c r="U1002" s="292"/>
      <c r="W1002" s="285"/>
      <c r="X1002" s="173"/>
      <c r="Y1002" s="57"/>
      <c r="Z1002" s="172"/>
      <c r="AA1002" s="57"/>
      <c r="AB1002" s="57"/>
      <c r="AC1002" s="57"/>
      <c r="AD1002" s="57"/>
      <c r="AE1002" s="57"/>
      <c r="AF1002" s="173"/>
      <c r="AG1002" s="57"/>
      <c r="AH1002" s="172"/>
      <c r="AI1002" s="57"/>
      <c r="AJ1002" s="57"/>
      <c r="AK1002" s="57"/>
      <c r="AL1002" s="57"/>
      <c r="AM1002" s="57"/>
      <c r="AN1002" s="109"/>
      <c r="AO1002" s="57"/>
    </row>
    <row r="1003" spans="2:41" s="151" customFormat="1" ht="13.5" customHeight="1" x14ac:dyDescent="0.15">
      <c r="B1003" s="5"/>
      <c r="C1003" s="285"/>
      <c r="D1003" s="36"/>
      <c r="E1003" s="279"/>
      <c r="F1003" s="279"/>
      <c r="G1003" s="279"/>
      <c r="H1003" s="279"/>
      <c r="I1003" s="279"/>
      <c r="J1003" s="142"/>
      <c r="K1003" s="5"/>
      <c r="L1003" s="142"/>
      <c r="M1003" s="5"/>
      <c r="N1003" s="142"/>
      <c r="O1003" s="5"/>
      <c r="P1003" s="142"/>
      <c r="Q1003" s="5"/>
      <c r="R1003" s="5"/>
      <c r="S1003" s="5"/>
      <c r="U1003" s="292"/>
      <c r="W1003" s="36"/>
      <c r="X1003" s="173"/>
      <c r="Y1003" s="99"/>
      <c r="Z1003" s="173"/>
      <c r="AA1003" s="99"/>
      <c r="AB1003" s="110"/>
      <c r="AC1003" s="99"/>
      <c r="AD1003" s="99"/>
      <c r="AE1003" s="99"/>
      <c r="AF1003" s="173"/>
      <c r="AG1003" s="99"/>
      <c r="AH1003" s="173"/>
      <c r="AI1003" s="99"/>
      <c r="AJ1003" s="110"/>
      <c r="AK1003" s="99"/>
      <c r="AL1003" s="99"/>
      <c r="AM1003" s="99"/>
      <c r="AN1003" s="111"/>
      <c r="AO1003" s="99"/>
    </row>
    <row r="1004" spans="2:41" s="151" customFormat="1" ht="13.5" customHeight="1" x14ac:dyDescent="0.15">
      <c r="B1004" s="5"/>
      <c r="C1004" s="285"/>
      <c r="D1004" s="36"/>
      <c r="E1004" s="279"/>
      <c r="F1004" s="279"/>
      <c r="G1004" s="279"/>
      <c r="H1004" s="279"/>
      <c r="I1004" s="279"/>
      <c r="J1004" s="113"/>
      <c r="K1004" s="57"/>
      <c r="L1004" s="113"/>
      <c r="M1004" s="57"/>
      <c r="N1004" s="113"/>
      <c r="O1004" s="57"/>
      <c r="P1004" s="113"/>
      <c r="Q1004" s="57"/>
      <c r="R1004" s="113"/>
      <c r="S1004" s="113"/>
      <c r="U1004" s="292"/>
      <c r="W1004" s="36"/>
      <c r="X1004" s="173"/>
      <c r="Y1004" s="57"/>
      <c r="Z1004" s="172"/>
      <c r="AA1004" s="57"/>
      <c r="AB1004" s="57"/>
      <c r="AC1004" s="57"/>
      <c r="AD1004" s="57"/>
      <c r="AE1004" s="57"/>
      <c r="AF1004" s="173"/>
      <c r="AG1004" s="57"/>
      <c r="AH1004" s="172"/>
      <c r="AI1004" s="57"/>
      <c r="AJ1004" s="57"/>
      <c r="AK1004" s="57"/>
      <c r="AL1004" s="57"/>
      <c r="AM1004" s="57"/>
      <c r="AN1004" s="109"/>
      <c r="AO1004" s="57"/>
    </row>
    <row r="1005" spans="2:41" s="151" customFormat="1" x14ac:dyDescent="0.15">
      <c r="B1005" s="5"/>
      <c r="C1005" s="285"/>
      <c r="D1005" s="117"/>
      <c r="E1005" s="117"/>
      <c r="F1005" s="117"/>
      <c r="G1005" s="117"/>
      <c r="H1005" s="117"/>
      <c r="I1005" s="117"/>
      <c r="J1005" s="113"/>
      <c r="K1005" s="99"/>
      <c r="L1005" s="99"/>
      <c r="M1005" s="99"/>
      <c r="N1005" s="298"/>
      <c r="O1005" s="140"/>
      <c r="P1005" s="140"/>
      <c r="Q1005" s="140"/>
      <c r="R1005" s="140"/>
      <c r="S1005" s="140"/>
      <c r="U1005" s="292"/>
      <c r="W1005" s="175"/>
      <c r="X1005" s="173"/>
      <c r="Y1005" s="99"/>
      <c r="Z1005" s="173"/>
      <c r="AA1005" s="99"/>
      <c r="AB1005" s="110"/>
      <c r="AC1005" s="99"/>
      <c r="AD1005" s="99"/>
      <c r="AE1005" s="99"/>
      <c r="AF1005" s="173"/>
      <c r="AG1005" s="99"/>
      <c r="AH1005" s="173"/>
      <c r="AI1005" s="99"/>
      <c r="AJ1005" s="110"/>
      <c r="AK1005" s="99"/>
      <c r="AL1005" s="99"/>
      <c r="AM1005" s="99"/>
      <c r="AN1005" s="111"/>
      <c r="AO1005" s="99"/>
    </row>
    <row r="1006" spans="2:41" s="151" customFormat="1" ht="13.5" customHeight="1" x14ac:dyDescent="0.15">
      <c r="B1006" s="5"/>
      <c r="C1006" s="5"/>
      <c r="D1006" s="117"/>
      <c r="E1006" s="117"/>
      <c r="F1006" s="117"/>
      <c r="G1006" s="117"/>
      <c r="H1006" s="117"/>
      <c r="I1006" s="117"/>
      <c r="J1006" s="279"/>
      <c r="K1006" s="299"/>
      <c r="L1006" s="299"/>
      <c r="M1006" s="299"/>
      <c r="N1006" s="300"/>
      <c r="O1006" s="141"/>
      <c r="P1006" s="141"/>
      <c r="Q1006" s="141"/>
      <c r="R1006" s="141"/>
      <c r="S1006" s="141"/>
      <c r="U1006" s="292"/>
      <c r="W1006" s="175"/>
      <c r="X1006" s="173"/>
      <c r="Y1006" s="57"/>
      <c r="Z1006" s="172"/>
      <c r="AA1006" s="57"/>
      <c r="AB1006" s="57"/>
      <c r="AC1006" s="57"/>
      <c r="AD1006" s="57"/>
      <c r="AE1006" s="57"/>
      <c r="AF1006" s="173"/>
      <c r="AG1006" s="57"/>
      <c r="AH1006" s="172"/>
      <c r="AI1006" s="57"/>
      <c r="AJ1006" s="57"/>
      <c r="AK1006" s="57"/>
      <c r="AL1006" s="57"/>
      <c r="AM1006" s="57"/>
      <c r="AN1006" s="109"/>
      <c r="AO1006" s="57"/>
    </row>
    <row r="1007" spans="2:41" s="151" customFormat="1" x14ac:dyDescent="0.15">
      <c r="B1007" s="5"/>
      <c r="C1007" s="5"/>
      <c r="D1007" s="117"/>
      <c r="E1007" s="36"/>
      <c r="F1007" s="36"/>
      <c r="G1007" s="36"/>
      <c r="H1007" s="36"/>
      <c r="I1007" s="36"/>
      <c r="J1007" s="279"/>
      <c r="K1007" s="75"/>
      <c r="L1007" s="99"/>
      <c r="M1007" s="75"/>
      <c r="N1007" s="300"/>
      <c r="O1007" s="301"/>
      <c r="P1007" s="140"/>
      <c r="Q1007" s="301"/>
      <c r="R1007" s="140"/>
      <c r="S1007" s="140"/>
      <c r="U1007" s="292"/>
      <c r="W1007" s="285"/>
      <c r="X1007" s="173"/>
      <c r="Y1007" s="99"/>
      <c r="Z1007" s="57"/>
      <c r="AA1007" s="99"/>
      <c r="AB1007" s="110"/>
      <c r="AC1007" s="99"/>
      <c r="AD1007" s="99"/>
      <c r="AE1007" s="99"/>
      <c r="AF1007" s="173"/>
      <c r="AG1007" s="99"/>
      <c r="AH1007" s="57"/>
      <c r="AI1007" s="99"/>
      <c r="AJ1007" s="110"/>
      <c r="AK1007" s="99"/>
      <c r="AL1007" s="99"/>
      <c r="AM1007" s="99"/>
      <c r="AN1007" s="111"/>
      <c r="AO1007" s="99"/>
    </row>
    <row r="1008" spans="2:41" s="151" customFormat="1" ht="13.5" customHeight="1" x14ac:dyDescent="0.15"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U1008" s="292"/>
      <c r="W1008" s="285"/>
      <c r="X1008" s="173"/>
      <c r="Y1008" s="57"/>
      <c r="Z1008" s="172"/>
      <c r="AA1008" s="57"/>
      <c r="AB1008" s="57"/>
      <c r="AC1008" s="57"/>
      <c r="AD1008" s="57"/>
      <c r="AE1008" s="57"/>
      <c r="AF1008" s="173"/>
      <c r="AG1008" s="57"/>
      <c r="AH1008" s="172"/>
      <c r="AI1008" s="57"/>
      <c r="AJ1008" s="57"/>
      <c r="AK1008" s="57"/>
      <c r="AL1008" s="57"/>
      <c r="AM1008" s="57"/>
      <c r="AN1008" s="109"/>
      <c r="AO1008" s="57"/>
    </row>
    <row r="1009" spans="2:41" s="151" customFormat="1" x14ac:dyDescent="0.15">
      <c r="B1009" s="5"/>
      <c r="C1009" s="5"/>
      <c r="D1009" s="36"/>
      <c r="E1009" s="36"/>
      <c r="F1009" s="36"/>
      <c r="G1009" s="36"/>
      <c r="H1009" s="36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173"/>
      <c r="U1009" s="292"/>
      <c r="W1009" s="285"/>
      <c r="X1009" s="174"/>
      <c r="Y1009" s="99"/>
      <c r="Z1009" s="5"/>
      <c r="AA1009" s="99"/>
      <c r="AB1009" s="57"/>
      <c r="AC1009" s="99"/>
      <c r="AD1009" s="99"/>
      <c r="AE1009" s="99"/>
      <c r="AF1009" s="174"/>
      <c r="AG1009" s="99"/>
      <c r="AH1009" s="5"/>
      <c r="AI1009" s="99"/>
      <c r="AJ1009" s="57"/>
      <c r="AK1009" s="99"/>
      <c r="AL1009" s="99"/>
      <c r="AM1009" s="99"/>
      <c r="AN1009" s="111"/>
      <c r="AO1009" s="99"/>
    </row>
    <row r="1010" spans="2:41" s="151" customFormat="1" ht="13.5" customHeight="1" x14ac:dyDescent="0.15">
      <c r="B1010" s="5"/>
      <c r="C1010" s="5"/>
      <c r="D1010" s="36"/>
      <c r="E1010" s="36"/>
      <c r="F1010" s="36"/>
      <c r="G1010" s="36"/>
      <c r="H1010" s="36"/>
      <c r="I1010" s="36"/>
      <c r="J1010" s="174"/>
      <c r="K1010" s="173"/>
      <c r="L1010" s="102"/>
      <c r="M1010" s="102"/>
      <c r="N1010" s="174"/>
      <c r="O1010" s="173"/>
      <c r="P1010" s="102"/>
      <c r="Q1010" s="102"/>
      <c r="R1010" s="172"/>
      <c r="S1010" s="172"/>
      <c r="U1010" s="292"/>
      <c r="W1010" s="285"/>
      <c r="X1010" s="174"/>
      <c r="Y1010" s="57"/>
      <c r="Z1010" s="172"/>
      <c r="AA1010" s="57"/>
      <c r="AB1010" s="57"/>
      <c r="AC1010" s="57"/>
      <c r="AD1010" s="57"/>
      <c r="AE1010" s="57"/>
      <c r="AF1010" s="174"/>
      <c r="AG1010" s="57"/>
      <c r="AH1010" s="172"/>
      <c r="AI1010" s="57"/>
      <c r="AJ1010" s="57"/>
      <c r="AK1010" s="57"/>
      <c r="AL1010" s="57"/>
      <c r="AM1010" s="57"/>
      <c r="AN1010" s="109"/>
      <c r="AO1010" s="57"/>
    </row>
    <row r="1011" spans="2:41" s="151" customFormat="1" ht="13.5" customHeight="1" x14ac:dyDescent="0.15">
      <c r="B1011" s="5"/>
      <c r="C1011" s="285"/>
      <c r="D1011" s="36"/>
      <c r="E1011" s="279"/>
      <c r="F1011" s="279"/>
      <c r="G1011" s="279"/>
      <c r="H1011" s="279"/>
      <c r="I1011" s="279"/>
      <c r="J1011" s="142"/>
      <c r="K1011" s="5"/>
      <c r="L1011" s="142"/>
      <c r="M1011" s="99"/>
      <c r="N1011" s="142"/>
      <c r="O1011" s="5"/>
      <c r="P1011" s="142"/>
      <c r="Q1011" s="99"/>
      <c r="R1011" s="142"/>
      <c r="S1011" s="142"/>
      <c r="U1011" s="292"/>
      <c r="W1011" s="285"/>
      <c r="X1011" s="174"/>
      <c r="Y1011" s="99"/>
      <c r="Z1011" s="5"/>
      <c r="AA1011" s="99"/>
      <c r="AB1011" s="57"/>
      <c r="AC1011" s="99"/>
      <c r="AD1011" s="99"/>
      <c r="AE1011" s="99"/>
      <c r="AF1011" s="174"/>
      <c r="AG1011" s="99"/>
      <c r="AH1011" s="5"/>
      <c r="AI1011" s="99"/>
      <c r="AJ1011" s="57"/>
      <c r="AK1011" s="99"/>
      <c r="AL1011" s="99"/>
      <c r="AM1011" s="99"/>
      <c r="AN1011" s="111"/>
      <c r="AO1011" s="295"/>
    </row>
    <row r="1012" spans="2:41" s="151" customFormat="1" ht="13.5" customHeight="1" x14ac:dyDescent="0.15">
      <c r="B1012" s="5"/>
      <c r="C1012" s="285"/>
      <c r="D1012" s="36"/>
      <c r="E1012" s="279"/>
      <c r="F1012" s="279"/>
      <c r="G1012" s="279"/>
      <c r="H1012" s="279"/>
      <c r="I1012" s="279"/>
      <c r="J1012" s="113"/>
      <c r="K1012" s="57"/>
      <c r="L1012" s="113"/>
      <c r="M1012" s="57"/>
      <c r="N1012" s="113"/>
      <c r="O1012" s="57"/>
      <c r="P1012" s="113"/>
      <c r="Q1012" s="57"/>
      <c r="R1012" s="113"/>
      <c r="S1012" s="113"/>
      <c r="U1012" s="292"/>
      <c r="W1012" s="285"/>
      <c r="X1012" s="174"/>
      <c r="Y1012" s="57"/>
      <c r="Z1012" s="172"/>
      <c r="AA1012" s="57"/>
      <c r="AB1012" s="57"/>
      <c r="AC1012" s="57"/>
      <c r="AD1012" s="57"/>
      <c r="AE1012" s="57"/>
      <c r="AF1012" s="174"/>
      <c r="AG1012" s="57"/>
      <c r="AH1012" s="172"/>
      <c r="AI1012" s="57"/>
      <c r="AJ1012" s="57"/>
      <c r="AK1012" s="57"/>
      <c r="AL1012" s="57"/>
      <c r="AM1012" s="57"/>
      <c r="AN1012" s="109"/>
      <c r="AO1012" s="295"/>
    </row>
    <row r="1013" spans="2:41" s="151" customFormat="1" ht="13.5" customHeight="1" x14ac:dyDescent="0.15">
      <c r="B1013" s="5"/>
      <c r="C1013" s="285"/>
      <c r="D1013" s="36"/>
      <c r="E1013" s="279"/>
      <c r="F1013" s="279"/>
      <c r="G1013" s="279"/>
      <c r="H1013" s="279"/>
      <c r="I1013" s="279"/>
      <c r="J1013" s="142"/>
      <c r="K1013" s="5"/>
      <c r="L1013" s="142"/>
      <c r="M1013" s="99"/>
      <c r="N1013" s="142"/>
      <c r="O1013" s="5"/>
      <c r="P1013" s="142"/>
      <c r="Q1013" s="99"/>
      <c r="R1013" s="142"/>
      <c r="S1013" s="142"/>
      <c r="U1013" s="292"/>
      <c r="W1013" s="36"/>
      <c r="X1013" s="174"/>
      <c r="Y1013" s="99"/>
      <c r="Z1013" s="5"/>
      <c r="AA1013" s="99"/>
      <c r="AB1013" s="57"/>
      <c r="AC1013" s="99"/>
      <c r="AD1013" s="99"/>
      <c r="AE1013" s="99"/>
      <c r="AF1013" s="174"/>
      <c r="AG1013" s="99"/>
      <c r="AH1013" s="5"/>
      <c r="AI1013" s="99"/>
      <c r="AJ1013" s="57"/>
      <c r="AK1013" s="99"/>
      <c r="AL1013" s="99"/>
      <c r="AM1013" s="99"/>
      <c r="AN1013" s="111"/>
      <c r="AO1013" s="295"/>
    </row>
    <row r="1014" spans="2:41" s="151" customFormat="1" ht="13.5" customHeight="1" x14ac:dyDescent="0.15">
      <c r="B1014" s="5"/>
      <c r="C1014" s="285"/>
      <c r="D1014" s="36"/>
      <c r="E1014" s="279"/>
      <c r="F1014" s="279"/>
      <c r="G1014" s="279"/>
      <c r="H1014" s="279"/>
      <c r="I1014" s="279"/>
      <c r="J1014" s="113"/>
      <c r="K1014" s="57"/>
      <c r="L1014" s="113"/>
      <c r="M1014" s="57"/>
      <c r="N1014" s="113"/>
      <c r="O1014" s="57"/>
      <c r="P1014" s="113"/>
      <c r="Q1014" s="57"/>
      <c r="R1014" s="113"/>
      <c r="S1014" s="113"/>
      <c r="U1014" s="292"/>
      <c r="W1014" s="36"/>
      <c r="X1014" s="174"/>
      <c r="Y1014" s="57"/>
      <c r="Z1014" s="172"/>
      <c r="AA1014" s="57"/>
      <c r="AB1014" s="57"/>
      <c r="AC1014" s="57"/>
      <c r="AD1014" s="57"/>
      <c r="AE1014" s="57"/>
      <c r="AF1014" s="174"/>
      <c r="AG1014" s="57"/>
      <c r="AH1014" s="172"/>
      <c r="AI1014" s="57"/>
      <c r="AJ1014" s="57"/>
      <c r="AK1014" s="57"/>
      <c r="AL1014" s="57"/>
      <c r="AM1014" s="57"/>
      <c r="AN1014" s="109"/>
      <c r="AO1014" s="295"/>
    </row>
    <row r="1015" spans="2:41" s="151" customFormat="1" x14ac:dyDescent="0.15">
      <c r="B1015" s="5"/>
      <c r="C1015" s="285"/>
      <c r="D1015" s="36"/>
      <c r="E1015" s="279"/>
      <c r="F1015" s="279"/>
      <c r="G1015" s="279"/>
      <c r="H1015" s="279"/>
      <c r="I1015" s="279"/>
      <c r="J1015" s="142"/>
      <c r="K1015" s="5"/>
      <c r="L1015" s="142"/>
      <c r="M1015" s="99"/>
      <c r="N1015" s="142"/>
      <c r="O1015" s="5"/>
      <c r="P1015" s="142"/>
      <c r="Q1015" s="99"/>
      <c r="R1015" s="142"/>
      <c r="S1015" s="142"/>
      <c r="U1015" s="292"/>
      <c r="W1015" s="36"/>
      <c r="X1015" s="5"/>
      <c r="Y1015" s="99"/>
      <c r="Z1015" s="99"/>
      <c r="AA1015" s="99"/>
      <c r="AB1015" s="99"/>
      <c r="AC1015" s="99"/>
      <c r="AD1015" s="99"/>
      <c r="AE1015" s="99"/>
      <c r="AF1015" s="5"/>
      <c r="AG1015" s="99"/>
      <c r="AH1015" s="99"/>
      <c r="AI1015" s="99"/>
      <c r="AJ1015" s="99"/>
      <c r="AK1015" s="99"/>
      <c r="AL1015" s="99"/>
      <c r="AM1015" s="99"/>
      <c r="AN1015" s="111"/>
      <c r="AO1015" s="99"/>
    </row>
    <row r="1016" spans="2:41" s="151" customFormat="1" ht="14.25" customHeight="1" x14ac:dyDescent="0.15">
      <c r="B1016" s="5"/>
      <c r="C1016" s="285"/>
      <c r="D1016" s="36"/>
      <c r="E1016" s="279"/>
      <c r="F1016" s="279"/>
      <c r="G1016" s="279"/>
      <c r="H1016" s="279"/>
      <c r="I1016" s="279"/>
      <c r="J1016" s="113"/>
      <c r="K1016" s="57"/>
      <c r="L1016" s="113"/>
      <c r="M1016" s="57"/>
      <c r="N1016" s="113"/>
      <c r="O1016" s="57"/>
      <c r="P1016" s="113"/>
      <c r="Q1016" s="57"/>
      <c r="R1016" s="113"/>
      <c r="S1016" s="113"/>
      <c r="U1016" s="292"/>
      <c r="W1016" s="36"/>
      <c r="X1016" s="5"/>
      <c r="Y1016" s="115"/>
      <c r="Z1016" s="113"/>
      <c r="AA1016" s="115"/>
      <c r="AB1016" s="113"/>
      <c r="AC1016" s="115"/>
      <c r="AD1016" s="113"/>
      <c r="AE1016" s="115"/>
      <c r="AF1016" s="5"/>
      <c r="AG1016" s="115"/>
      <c r="AH1016" s="113"/>
      <c r="AI1016" s="115"/>
      <c r="AJ1016" s="113"/>
      <c r="AK1016" s="115"/>
      <c r="AL1016" s="113"/>
      <c r="AM1016" s="115"/>
      <c r="AN1016" s="116"/>
      <c r="AO1016" s="115"/>
    </row>
    <row r="1017" spans="2:41" s="151" customFormat="1" ht="13.5" customHeight="1" x14ac:dyDescent="0.15">
      <c r="B1017" s="5"/>
      <c r="C1017" s="285"/>
      <c r="D1017" s="36"/>
      <c r="E1017" s="279"/>
      <c r="F1017" s="279"/>
      <c r="G1017" s="279"/>
      <c r="H1017" s="279"/>
      <c r="I1017" s="279"/>
      <c r="J1017" s="142"/>
      <c r="K1017" s="5"/>
      <c r="L1017" s="142"/>
      <c r="M1017" s="99"/>
      <c r="N1017" s="142"/>
      <c r="O1017" s="5"/>
      <c r="P1017" s="142"/>
      <c r="Q1017" s="99"/>
      <c r="R1017" s="142"/>
      <c r="S1017" s="142"/>
      <c r="U1017" s="292"/>
      <c r="AN1017" s="280"/>
    </row>
    <row r="1018" spans="2:41" s="151" customFormat="1" ht="13.5" customHeight="1" x14ac:dyDescent="0.15">
      <c r="B1018" s="5"/>
      <c r="C1018" s="285"/>
      <c r="D1018" s="36"/>
      <c r="E1018" s="279"/>
      <c r="F1018" s="279"/>
      <c r="G1018" s="279"/>
      <c r="H1018" s="279"/>
      <c r="I1018" s="279"/>
      <c r="J1018" s="113"/>
      <c r="K1018" s="57"/>
      <c r="L1018" s="113"/>
      <c r="M1018" s="57"/>
      <c r="N1018" s="113"/>
      <c r="O1018" s="57"/>
      <c r="P1018" s="113"/>
      <c r="Q1018" s="57"/>
      <c r="R1018" s="113"/>
      <c r="S1018" s="113"/>
      <c r="U1018" s="292"/>
      <c r="AN1018" s="280"/>
    </row>
    <row r="1019" spans="2:41" s="151" customFormat="1" ht="14.25" customHeight="1" x14ac:dyDescent="0.15">
      <c r="B1019" s="5"/>
      <c r="C1019" s="285"/>
      <c r="D1019" s="36"/>
      <c r="E1019" s="279"/>
      <c r="F1019" s="279"/>
      <c r="G1019" s="279"/>
      <c r="H1019" s="279"/>
      <c r="I1019" s="279"/>
      <c r="J1019" s="142"/>
      <c r="K1019" s="5"/>
      <c r="L1019" s="142"/>
      <c r="M1019" s="99"/>
      <c r="N1019" s="142"/>
      <c r="O1019" s="5"/>
      <c r="P1019" s="142"/>
      <c r="Q1019" s="99"/>
      <c r="R1019" s="142"/>
      <c r="S1019" s="142"/>
      <c r="U1019" s="292"/>
      <c r="W1019" s="291"/>
      <c r="X1019" s="5"/>
      <c r="Y1019" s="5"/>
      <c r="Z1019" s="5"/>
      <c r="AA1019" s="5"/>
      <c r="AB1019" s="5"/>
      <c r="AC1019" s="284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108"/>
    </row>
    <row r="1020" spans="2:41" s="151" customFormat="1" ht="13.5" customHeight="1" x14ac:dyDescent="0.15">
      <c r="B1020" s="5"/>
      <c r="C1020" s="285"/>
      <c r="D1020" s="36"/>
      <c r="E1020" s="279"/>
      <c r="F1020" s="279"/>
      <c r="G1020" s="279"/>
      <c r="H1020" s="279"/>
      <c r="I1020" s="279"/>
      <c r="J1020" s="113"/>
      <c r="K1020" s="57"/>
      <c r="L1020" s="113"/>
      <c r="M1020" s="57"/>
      <c r="N1020" s="113"/>
      <c r="O1020" s="57"/>
      <c r="P1020" s="113"/>
      <c r="Q1020" s="57"/>
      <c r="R1020" s="113"/>
      <c r="S1020" s="113"/>
      <c r="U1020" s="292"/>
      <c r="W1020" s="5"/>
      <c r="X1020" s="173"/>
      <c r="Y1020" s="36"/>
      <c r="Z1020" s="36"/>
      <c r="AA1020" s="36"/>
      <c r="AB1020" s="36"/>
      <c r="AC1020" s="36"/>
      <c r="AD1020" s="36"/>
      <c r="AE1020" s="36"/>
      <c r="AF1020" s="173"/>
      <c r="AG1020" s="36"/>
      <c r="AH1020" s="36"/>
      <c r="AI1020" s="36"/>
      <c r="AJ1020" s="36"/>
      <c r="AK1020" s="36"/>
      <c r="AL1020" s="36"/>
      <c r="AM1020" s="36"/>
      <c r="AN1020" s="294"/>
      <c r="AO1020" s="294"/>
    </row>
    <row r="1021" spans="2:41" s="151" customFormat="1" ht="13.5" customHeight="1" x14ac:dyDescent="0.15">
      <c r="B1021" s="5"/>
      <c r="C1021" s="285"/>
      <c r="D1021" s="36"/>
      <c r="E1021" s="279"/>
      <c r="F1021" s="279"/>
      <c r="G1021" s="279"/>
      <c r="H1021" s="279"/>
      <c r="I1021" s="279"/>
      <c r="J1021" s="142"/>
      <c r="K1021" s="5"/>
      <c r="L1021" s="142"/>
      <c r="M1021" s="99"/>
      <c r="N1021" s="142"/>
      <c r="O1021" s="5"/>
      <c r="P1021" s="142"/>
      <c r="Q1021" s="99"/>
      <c r="R1021" s="142"/>
      <c r="S1021" s="142"/>
      <c r="U1021" s="292"/>
      <c r="W1021" s="5"/>
      <c r="X1021" s="173"/>
      <c r="Y1021" s="173"/>
      <c r="Z1021" s="102"/>
      <c r="AA1021" s="102"/>
      <c r="AB1021" s="293"/>
      <c r="AC1021" s="293"/>
      <c r="AD1021" s="102"/>
      <c r="AE1021" s="102"/>
      <c r="AF1021" s="173"/>
      <c r="AG1021" s="173"/>
      <c r="AH1021" s="102"/>
      <c r="AI1021" s="102"/>
      <c r="AJ1021" s="293"/>
      <c r="AK1021" s="293"/>
      <c r="AL1021" s="102"/>
      <c r="AM1021" s="102"/>
      <c r="AN1021" s="294"/>
      <c r="AO1021" s="294"/>
    </row>
    <row r="1022" spans="2:41" s="151" customFormat="1" ht="13.5" customHeight="1" x14ac:dyDescent="0.15">
      <c r="B1022" s="5"/>
      <c r="C1022" s="285"/>
      <c r="D1022" s="36"/>
      <c r="E1022" s="279"/>
      <c r="F1022" s="279"/>
      <c r="G1022" s="279"/>
      <c r="H1022" s="279"/>
      <c r="I1022" s="279"/>
      <c r="J1022" s="113"/>
      <c r="K1022" s="57"/>
      <c r="L1022" s="113"/>
      <c r="M1022" s="57"/>
      <c r="N1022" s="113"/>
      <c r="O1022" s="57"/>
      <c r="P1022" s="113"/>
      <c r="Q1022" s="57"/>
      <c r="R1022" s="113"/>
      <c r="S1022" s="113"/>
      <c r="U1022" s="292"/>
      <c r="W1022" s="285"/>
      <c r="X1022" s="173"/>
      <c r="Y1022" s="99"/>
      <c r="Z1022" s="173"/>
      <c r="AA1022" s="99"/>
      <c r="AB1022" s="110"/>
      <c r="AC1022" s="99"/>
      <c r="AD1022" s="99"/>
      <c r="AE1022" s="99"/>
      <c r="AF1022" s="173"/>
      <c r="AG1022" s="295"/>
      <c r="AH1022" s="173"/>
      <c r="AI1022" s="295"/>
      <c r="AJ1022" s="110"/>
      <c r="AK1022" s="295"/>
      <c r="AL1022" s="99"/>
      <c r="AM1022" s="295"/>
      <c r="AN1022" s="111"/>
      <c r="AO1022" s="294"/>
    </row>
    <row r="1023" spans="2:41" s="151" customFormat="1" ht="13.5" customHeight="1" x14ac:dyDescent="0.15">
      <c r="B1023" s="5"/>
      <c r="C1023" s="285"/>
      <c r="D1023" s="36"/>
      <c r="E1023" s="279"/>
      <c r="F1023" s="279"/>
      <c r="G1023" s="279"/>
      <c r="H1023" s="279"/>
      <c r="I1023" s="279"/>
      <c r="J1023" s="142"/>
      <c r="K1023" s="5"/>
      <c r="L1023" s="142"/>
      <c r="M1023" s="99"/>
      <c r="N1023" s="142"/>
      <c r="O1023" s="5"/>
      <c r="P1023" s="142"/>
      <c r="Q1023" s="99"/>
      <c r="R1023" s="142"/>
      <c r="S1023" s="142"/>
      <c r="U1023" s="292"/>
      <c r="W1023" s="285"/>
      <c r="X1023" s="173"/>
      <c r="Y1023" s="57"/>
      <c r="Z1023" s="172"/>
      <c r="AA1023" s="57"/>
      <c r="AB1023" s="57"/>
      <c r="AC1023" s="57"/>
      <c r="AD1023" s="57"/>
      <c r="AE1023" s="57"/>
      <c r="AF1023" s="173"/>
      <c r="AG1023" s="295"/>
      <c r="AH1023" s="172"/>
      <c r="AI1023" s="295"/>
      <c r="AJ1023" s="57"/>
      <c r="AK1023" s="295"/>
      <c r="AL1023" s="57"/>
      <c r="AM1023" s="295"/>
      <c r="AN1023" s="111"/>
      <c r="AO1023" s="294"/>
    </row>
    <row r="1024" spans="2:41" s="151" customFormat="1" ht="13.5" customHeight="1" x14ac:dyDescent="0.15">
      <c r="B1024" s="5"/>
      <c r="C1024" s="285"/>
      <c r="D1024" s="36"/>
      <c r="E1024" s="279"/>
      <c r="F1024" s="279"/>
      <c r="G1024" s="279"/>
      <c r="H1024" s="279"/>
      <c r="I1024" s="279"/>
      <c r="J1024" s="113"/>
      <c r="K1024" s="57"/>
      <c r="L1024" s="113"/>
      <c r="M1024" s="57"/>
      <c r="N1024" s="113"/>
      <c r="O1024" s="57"/>
      <c r="P1024" s="113"/>
      <c r="Q1024" s="57"/>
      <c r="R1024" s="113"/>
      <c r="S1024" s="113"/>
      <c r="U1024" s="292"/>
      <c r="W1024" s="285"/>
      <c r="X1024" s="173"/>
      <c r="Y1024" s="99"/>
      <c r="Z1024" s="173"/>
      <c r="AA1024" s="99"/>
      <c r="AB1024" s="110"/>
      <c r="AC1024" s="99"/>
      <c r="AD1024" s="99"/>
      <c r="AE1024" s="99"/>
      <c r="AF1024" s="173"/>
      <c r="AG1024" s="99"/>
      <c r="AH1024" s="173"/>
      <c r="AI1024" s="99"/>
      <c r="AJ1024" s="110"/>
      <c r="AK1024" s="99"/>
      <c r="AL1024" s="99"/>
      <c r="AM1024" s="99"/>
      <c r="AN1024" s="111"/>
      <c r="AO1024" s="99"/>
    </row>
    <row r="1025" spans="2:41" s="151" customFormat="1" ht="13.5" customHeight="1" x14ac:dyDescent="0.15">
      <c r="B1025" s="5"/>
      <c r="C1025" s="285"/>
      <c r="D1025" s="36"/>
      <c r="E1025" s="279"/>
      <c r="F1025" s="279"/>
      <c r="G1025" s="279"/>
      <c r="H1025" s="279"/>
      <c r="I1025" s="279"/>
      <c r="J1025" s="142"/>
      <c r="K1025" s="5"/>
      <c r="L1025" s="142"/>
      <c r="M1025" s="99"/>
      <c r="N1025" s="142"/>
      <c r="O1025" s="5"/>
      <c r="P1025" s="142"/>
      <c r="Q1025" s="99"/>
      <c r="R1025" s="142"/>
      <c r="S1025" s="142"/>
      <c r="U1025" s="292"/>
      <c r="W1025" s="285"/>
      <c r="X1025" s="173"/>
      <c r="Y1025" s="57"/>
      <c r="Z1025" s="172"/>
      <c r="AA1025" s="57"/>
      <c r="AB1025" s="57"/>
      <c r="AC1025" s="57"/>
      <c r="AD1025" s="57"/>
      <c r="AE1025" s="57"/>
      <c r="AF1025" s="173"/>
      <c r="AG1025" s="57"/>
      <c r="AH1025" s="172"/>
      <c r="AI1025" s="57"/>
      <c r="AJ1025" s="57"/>
      <c r="AK1025" s="57"/>
      <c r="AL1025" s="57"/>
      <c r="AM1025" s="57"/>
      <c r="AN1025" s="109"/>
      <c r="AO1025" s="57"/>
    </row>
    <row r="1026" spans="2:41" s="151" customFormat="1" ht="13.5" customHeight="1" x14ac:dyDescent="0.15">
      <c r="B1026" s="5"/>
      <c r="C1026" s="285"/>
      <c r="D1026" s="36"/>
      <c r="E1026" s="279"/>
      <c r="F1026" s="279"/>
      <c r="G1026" s="279"/>
      <c r="H1026" s="279"/>
      <c r="I1026" s="279"/>
      <c r="J1026" s="113"/>
      <c r="K1026" s="57"/>
      <c r="L1026" s="113"/>
      <c r="M1026" s="57"/>
      <c r="N1026" s="113"/>
      <c r="O1026" s="57"/>
      <c r="P1026" s="113"/>
      <c r="Q1026" s="57"/>
      <c r="R1026" s="113"/>
      <c r="S1026" s="113"/>
      <c r="U1026" s="292"/>
      <c r="W1026" s="285"/>
      <c r="X1026" s="173"/>
      <c r="Y1026" s="99"/>
      <c r="Z1026" s="173"/>
      <c r="AA1026" s="99"/>
      <c r="AB1026" s="110"/>
      <c r="AC1026" s="99"/>
      <c r="AD1026" s="99"/>
      <c r="AE1026" s="99"/>
      <c r="AF1026" s="173"/>
      <c r="AG1026" s="99"/>
      <c r="AH1026" s="173"/>
      <c r="AI1026" s="99"/>
      <c r="AJ1026" s="110"/>
      <c r="AK1026" s="99"/>
      <c r="AL1026" s="99"/>
      <c r="AM1026" s="99"/>
      <c r="AN1026" s="111"/>
      <c r="AO1026" s="99"/>
    </row>
    <row r="1027" spans="2:41" s="151" customFormat="1" ht="13.5" customHeight="1" x14ac:dyDescent="0.15">
      <c r="B1027" s="5"/>
      <c r="C1027" s="285"/>
      <c r="D1027" s="36"/>
      <c r="E1027" s="279"/>
      <c r="F1027" s="279"/>
      <c r="G1027" s="279"/>
      <c r="H1027" s="279"/>
      <c r="I1027" s="279"/>
      <c r="J1027" s="142"/>
      <c r="K1027" s="5"/>
      <c r="L1027" s="142"/>
      <c r="M1027" s="99"/>
      <c r="N1027" s="142"/>
      <c r="O1027" s="5"/>
      <c r="P1027" s="142"/>
      <c r="Q1027" s="99"/>
      <c r="R1027" s="142"/>
      <c r="S1027" s="142"/>
      <c r="U1027" s="292"/>
      <c r="W1027" s="285"/>
      <c r="X1027" s="173"/>
      <c r="Y1027" s="57"/>
      <c r="Z1027" s="172"/>
      <c r="AA1027" s="57"/>
      <c r="AB1027" s="57"/>
      <c r="AC1027" s="57"/>
      <c r="AD1027" s="57"/>
      <c r="AE1027" s="57"/>
      <c r="AF1027" s="173"/>
      <c r="AG1027" s="57"/>
      <c r="AH1027" s="172"/>
      <c r="AI1027" s="57"/>
      <c r="AJ1027" s="57"/>
      <c r="AK1027" s="57"/>
      <c r="AL1027" s="57"/>
      <c r="AM1027" s="57"/>
      <c r="AN1027" s="109"/>
      <c r="AO1027" s="57"/>
    </row>
    <row r="1028" spans="2:41" s="151" customFormat="1" ht="13.5" customHeight="1" x14ac:dyDescent="0.15">
      <c r="B1028" s="5"/>
      <c r="C1028" s="285"/>
      <c r="D1028" s="36"/>
      <c r="E1028" s="279"/>
      <c r="F1028" s="279"/>
      <c r="G1028" s="279"/>
      <c r="H1028" s="279"/>
      <c r="I1028" s="279"/>
      <c r="J1028" s="113"/>
      <c r="K1028" s="57"/>
      <c r="L1028" s="113"/>
      <c r="M1028" s="57"/>
      <c r="N1028" s="113"/>
      <c r="O1028" s="57"/>
      <c r="P1028" s="113"/>
      <c r="Q1028" s="57"/>
      <c r="R1028" s="113"/>
      <c r="S1028" s="113"/>
      <c r="U1028" s="292"/>
      <c r="W1028" s="175"/>
      <c r="X1028" s="173"/>
      <c r="Y1028" s="99"/>
      <c r="Z1028" s="173"/>
      <c r="AA1028" s="99"/>
      <c r="AB1028" s="110"/>
      <c r="AC1028" s="99"/>
      <c r="AD1028" s="99"/>
      <c r="AE1028" s="99"/>
      <c r="AF1028" s="173"/>
      <c r="AG1028" s="99"/>
      <c r="AH1028" s="173"/>
      <c r="AI1028" s="99"/>
      <c r="AJ1028" s="110"/>
      <c r="AK1028" s="99"/>
      <c r="AL1028" s="99"/>
      <c r="AM1028" s="99"/>
      <c r="AN1028" s="111"/>
      <c r="AO1028" s="99"/>
    </row>
    <row r="1029" spans="2:41" s="151" customFormat="1" ht="13.5" customHeight="1" x14ac:dyDescent="0.15">
      <c r="B1029" s="5"/>
      <c r="C1029" s="302"/>
      <c r="D1029" s="303"/>
      <c r="E1029" s="279"/>
      <c r="F1029" s="279"/>
      <c r="G1029" s="279"/>
      <c r="H1029" s="279"/>
      <c r="I1029" s="279"/>
      <c r="J1029" s="142"/>
      <c r="K1029" s="5"/>
      <c r="L1029" s="142"/>
      <c r="M1029" s="99"/>
      <c r="N1029" s="143"/>
      <c r="O1029" s="304"/>
      <c r="P1029" s="143"/>
      <c r="Q1029" s="305"/>
      <c r="R1029" s="143"/>
      <c r="S1029" s="143"/>
      <c r="U1029" s="292"/>
      <c r="W1029" s="175"/>
      <c r="X1029" s="173"/>
      <c r="Y1029" s="57"/>
      <c r="Z1029" s="172"/>
      <c r="AA1029" s="57"/>
      <c r="AB1029" s="57"/>
      <c r="AC1029" s="57"/>
      <c r="AD1029" s="57"/>
      <c r="AE1029" s="57"/>
      <c r="AF1029" s="173"/>
      <c r="AG1029" s="57"/>
      <c r="AH1029" s="172"/>
      <c r="AI1029" s="57"/>
      <c r="AJ1029" s="57"/>
      <c r="AK1029" s="57"/>
      <c r="AL1029" s="57"/>
      <c r="AM1029" s="57"/>
      <c r="AN1029" s="109"/>
      <c r="AO1029" s="57"/>
    </row>
    <row r="1030" spans="2:41" s="151" customFormat="1" ht="13.5" customHeight="1" x14ac:dyDescent="0.15">
      <c r="B1030" s="5"/>
      <c r="C1030" s="302"/>
      <c r="D1030" s="303"/>
      <c r="E1030" s="279"/>
      <c r="F1030" s="279"/>
      <c r="G1030" s="279"/>
      <c r="H1030" s="279"/>
      <c r="I1030" s="279"/>
      <c r="J1030" s="113"/>
      <c r="K1030" s="57"/>
      <c r="L1030" s="113"/>
      <c r="M1030" s="57"/>
      <c r="N1030" s="144"/>
      <c r="O1030" s="306"/>
      <c r="P1030" s="144"/>
      <c r="Q1030" s="306"/>
      <c r="R1030" s="144"/>
      <c r="S1030" s="144"/>
      <c r="U1030" s="292"/>
      <c r="W1030" s="285"/>
      <c r="X1030" s="173"/>
      <c r="Y1030" s="99"/>
      <c r="Z1030" s="57"/>
      <c r="AA1030" s="99"/>
      <c r="AB1030" s="110"/>
      <c r="AC1030" s="99"/>
      <c r="AD1030" s="99"/>
      <c r="AE1030" s="99"/>
      <c r="AF1030" s="173"/>
      <c r="AG1030" s="99"/>
      <c r="AH1030" s="57"/>
      <c r="AI1030" s="99"/>
      <c r="AJ1030" s="110"/>
      <c r="AK1030" s="99"/>
      <c r="AL1030" s="99"/>
      <c r="AM1030" s="99"/>
      <c r="AN1030" s="111"/>
      <c r="AO1030" s="99"/>
    </row>
    <row r="1031" spans="2:41" s="151" customFormat="1" ht="13.5" customHeight="1" x14ac:dyDescent="0.15">
      <c r="B1031" s="5"/>
      <c r="C1031" s="302"/>
      <c r="D1031" s="303"/>
      <c r="E1031" s="279"/>
      <c r="F1031" s="279"/>
      <c r="G1031" s="279"/>
      <c r="H1031" s="279"/>
      <c r="I1031" s="279"/>
      <c r="J1031" s="142"/>
      <c r="K1031" s="5"/>
      <c r="L1031" s="142"/>
      <c r="M1031" s="99"/>
      <c r="N1031" s="143"/>
      <c r="O1031" s="304"/>
      <c r="P1031" s="143"/>
      <c r="Q1031" s="305"/>
      <c r="R1031" s="143"/>
      <c r="S1031" s="143"/>
      <c r="U1031" s="292"/>
      <c r="W1031" s="285"/>
      <c r="X1031" s="173"/>
      <c r="Y1031" s="57"/>
      <c r="Z1031" s="172"/>
      <c r="AA1031" s="57"/>
      <c r="AB1031" s="57"/>
      <c r="AC1031" s="57"/>
      <c r="AD1031" s="57"/>
      <c r="AE1031" s="57"/>
      <c r="AF1031" s="173"/>
      <c r="AG1031" s="57"/>
      <c r="AH1031" s="172"/>
      <c r="AI1031" s="57"/>
      <c r="AJ1031" s="57"/>
      <c r="AK1031" s="57"/>
      <c r="AL1031" s="57"/>
      <c r="AM1031" s="57"/>
      <c r="AN1031" s="109"/>
      <c r="AO1031" s="57"/>
    </row>
    <row r="1032" spans="2:41" s="151" customFormat="1" ht="13.5" customHeight="1" x14ac:dyDescent="0.15">
      <c r="B1032" s="5"/>
      <c r="C1032" s="302"/>
      <c r="D1032" s="303"/>
      <c r="E1032" s="279"/>
      <c r="F1032" s="279"/>
      <c r="G1032" s="279"/>
      <c r="H1032" s="279"/>
      <c r="I1032" s="279"/>
      <c r="J1032" s="113"/>
      <c r="K1032" s="57"/>
      <c r="L1032" s="113"/>
      <c r="M1032" s="57"/>
      <c r="N1032" s="144"/>
      <c r="O1032" s="306"/>
      <c r="P1032" s="144"/>
      <c r="Q1032" s="306"/>
      <c r="R1032" s="144"/>
      <c r="S1032" s="144"/>
      <c r="U1032" s="292"/>
      <c r="W1032" s="285"/>
      <c r="X1032" s="174"/>
      <c r="Y1032" s="99"/>
      <c r="Z1032" s="5"/>
      <c r="AA1032" s="99"/>
      <c r="AB1032" s="57"/>
      <c r="AC1032" s="99"/>
      <c r="AD1032" s="99"/>
      <c r="AE1032" s="99"/>
      <c r="AF1032" s="174"/>
      <c r="AG1032" s="99"/>
      <c r="AH1032" s="5"/>
      <c r="AI1032" s="99"/>
      <c r="AJ1032" s="57"/>
      <c r="AK1032" s="99"/>
      <c r="AL1032" s="99"/>
      <c r="AM1032" s="99"/>
      <c r="AN1032" s="111"/>
      <c r="AO1032" s="99"/>
    </row>
    <row r="1033" spans="2:41" s="151" customFormat="1" ht="13.5" customHeight="1" x14ac:dyDescent="0.15">
      <c r="B1033" s="5"/>
      <c r="C1033" s="302"/>
      <c r="D1033" s="303"/>
      <c r="E1033" s="279"/>
      <c r="F1033" s="279"/>
      <c r="G1033" s="279"/>
      <c r="H1033" s="279"/>
      <c r="I1033" s="279"/>
      <c r="J1033" s="142"/>
      <c r="K1033" s="5"/>
      <c r="L1033" s="142"/>
      <c r="M1033" s="99"/>
      <c r="N1033" s="143"/>
      <c r="O1033" s="304"/>
      <c r="P1033" s="143"/>
      <c r="Q1033" s="305"/>
      <c r="R1033" s="143"/>
      <c r="S1033" s="143"/>
      <c r="U1033" s="292"/>
      <c r="W1033" s="285"/>
      <c r="X1033" s="174"/>
      <c r="Y1033" s="57"/>
      <c r="Z1033" s="172"/>
      <c r="AA1033" s="57"/>
      <c r="AB1033" s="57"/>
      <c r="AC1033" s="57"/>
      <c r="AD1033" s="57"/>
      <c r="AE1033" s="57"/>
      <c r="AF1033" s="174"/>
      <c r="AG1033" s="57"/>
      <c r="AH1033" s="172"/>
      <c r="AI1033" s="57"/>
      <c r="AJ1033" s="57"/>
      <c r="AK1033" s="57"/>
      <c r="AL1033" s="57"/>
      <c r="AM1033" s="57"/>
      <c r="AN1033" s="109"/>
      <c r="AO1033" s="57"/>
    </row>
    <row r="1034" spans="2:41" s="151" customFormat="1" ht="13.5" customHeight="1" x14ac:dyDescent="0.15">
      <c r="B1034" s="5"/>
      <c r="C1034" s="302"/>
      <c r="D1034" s="303"/>
      <c r="E1034" s="279"/>
      <c r="F1034" s="279"/>
      <c r="G1034" s="279"/>
      <c r="H1034" s="279"/>
      <c r="I1034" s="279"/>
      <c r="J1034" s="113"/>
      <c r="K1034" s="57"/>
      <c r="L1034" s="113"/>
      <c r="M1034" s="57"/>
      <c r="N1034" s="144"/>
      <c r="O1034" s="306"/>
      <c r="P1034" s="144"/>
      <c r="Q1034" s="306"/>
      <c r="R1034" s="144"/>
      <c r="S1034" s="144"/>
      <c r="U1034" s="292"/>
      <c r="W1034" s="285"/>
      <c r="X1034" s="174"/>
      <c r="Y1034" s="99"/>
      <c r="Z1034" s="5"/>
      <c r="AA1034" s="99"/>
      <c r="AB1034" s="57"/>
      <c r="AC1034" s="99"/>
      <c r="AD1034" s="99"/>
      <c r="AE1034" s="99"/>
      <c r="AF1034" s="174"/>
      <c r="AG1034" s="99"/>
      <c r="AH1034" s="5"/>
      <c r="AI1034" s="99"/>
      <c r="AJ1034" s="57"/>
      <c r="AK1034" s="99"/>
      <c r="AL1034" s="99"/>
      <c r="AM1034" s="99"/>
      <c r="AN1034" s="111"/>
      <c r="AO1034" s="99"/>
    </row>
    <row r="1035" spans="2:41" s="151" customFormat="1" ht="13.5" customHeight="1" x14ac:dyDescent="0.15">
      <c r="B1035" s="5"/>
      <c r="C1035" s="302"/>
      <c r="D1035" s="303"/>
      <c r="E1035" s="279"/>
      <c r="F1035" s="279"/>
      <c r="G1035" s="279"/>
      <c r="H1035" s="279"/>
      <c r="I1035" s="279"/>
      <c r="J1035" s="142"/>
      <c r="K1035" s="5"/>
      <c r="L1035" s="142"/>
      <c r="M1035" s="99"/>
      <c r="N1035" s="143"/>
      <c r="O1035" s="304"/>
      <c r="P1035" s="143"/>
      <c r="Q1035" s="305"/>
      <c r="R1035" s="143"/>
      <c r="S1035" s="143"/>
      <c r="U1035" s="292"/>
      <c r="W1035" s="285"/>
      <c r="X1035" s="174"/>
      <c r="Y1035" s="57"/>
      <c r="Z1035" s="172"/>
      <c r="AA1035" s="57"/>
      <c r="AB1035" s="57"/>
      <c r="AC1035" s="57"/>
      <c r="AD1035" s="57"/>
      <c r="AE1035" s="57"/>
      <c r="AF1035" s="174"/>
      <c r="AG1035" s="57"/>
      <c r="AH1035" s="172"/>
      <c r="AI1035" s="57"/>
      <c r="AJ1035" s="57"/>
      <c r="AK1035" s="57"/>
      <c r="AL1035" s="57"/>
      <c r="AM1035" s="57"/>
      <c r="AN1035" s="109"/>
      <c r="AO1035" s="57"/>
    </row>
    <row r="1036" spans="2:41" s="151" customFormat="1" x14ac:dyDescent="0.15">
      <c r="B1036" s="5"/>
      <c r="C1036" s="302"/>
      <c r="D1036" s="303"/>
      <c r="E1036" s="279"/>
      <c r="F1036" s="279"/>
      <c r="G1036" s="279"/>
      <c r="H1036" s="279"/>
      <c r="I1036" s="279"/>
      <c r="J1036" s="113"/>
      <c r="K1036" s="57"/>
      <c r="L1036" s="113"/>
      <c r="M1036" s="57"/>
      <c r="N1036" s="144"/>
      <c r="O1036" s="306"/>
      <c r="P1036" s="144"/>
      <c r="Q1036" s="306"/>
      <c r="R1036" s="144"/>
      <c r="S1036" s="144"/>
      <c r="U1036" s="292"/>
      <c r="W1036" s="285"/>
      <c r="X1036" s="174"/>
      <c r="Y1036" s="99"/>
      <c r="Z1036" s="5"/>
      <c r="AA1036" s="99"/>
      <c r="AB1036" s="57"/>
      <c r="AC1036" s="99"/>
      <c r="AD1036" s="99"/>
      <c r="AE1036" s="99"/>
      <c r="AF1036" s="174"/>
      <c r="AG1036" s="99"/>
      <c r="AH1036" s="5"/>
      <c r="AI1036" s="99"/>
      <c r="AJ1036" s="57"/>
      <c r="AK1036" s="99"/>
      <c r="AL1036" s="99"/>
      <c r="AM1036" s="99"/>
      <c r="AN1036" s="111"/>
      <c r="AO1036" s="295"/>
    </row>
    <row r="1037" spans="2:41" s="151" customFormat="1" ht="13.5" customHeight="1" x14ac:dyDescent="0.15">
      <c r="B1037" s="5"/>
      <c r="C1037" s="285"/>
      <c r="D1037" s="36"/>
      <c r="E1037" s="279"/>
      <c r="F1037" s="279"/>
      <c r="G1037" s="279"/>
      <c r="H1037" s="279"/>
      <c r="I1037" s="279"/>
      <c r="J1037" s="142"/>
      <c r="K1037" s="5"/>
      <c r="L1037" s="142"/>
      <c r="M1037" s="99"/>
      <c r="N1037" s="142"/>
      <c r="O1037" s="5"/>
      <c r="P1037" s="143"/>
      <c r="Q1037" s="305"/>
      <c r="R1037" s="143"/>
      <c r="S1037" s="143"/>
      <c r="U1037" s="292"/>
      <c r="W1037" s="285"/>
      <c r="X1037" s="174"/>
      <c r="Y1037" s="57"/>
      <c r="Z1037" s="172"/>
      <c r="AA1037" s="57"/>
      <c r="AB1037" s="57"/>
      <c r="AC1037" s="57"/>
      <c r="AD1037" s="57"/>
      <c r="AE1037" s="57"/>
      <c r="AF1037" s="174"/>
      <c r="AG1037" s="57"/>
      <c r="AH1037" s="172"/>
      <c r="AI1037" s="57"/>
      <c r="AJ1037" s="57"/>
      <c r="AK1037" s="57"/>
      <c r="AL1037" s="57"/>
      <c r="AM1037" s="57"/>
      <c r="AN1037" s="109"/>
      <c r="AO1037" s="295"/>
    </row>
    <row r="1038" spans="2:41" s="151" customFormat="1" x14ac:dyDescent="0.15">
      <c r="B1038" s="5"/>
      <c r="C1038" s="285"/>
      <c r="D1038" s="36"/>
      <c r="E1038" s="279"/>
      <c r="F1038" s="279"/>
      <c r="G1038" s="279"/>
      <c r="H1038" s="279"/>
      <c r="I1038" s="279"/>
      <c r="J1038" s="113"/>
      <c r="K1038" s="57"/>
      <c r="L1038" s="113"/>
      <c r="M1038" s="57"/>
      <c r="N1038" s="113"/>
      <c r="O1038" s="57"/>
      <c r="P1038" s="144"/>
      <c r="Q1038" s="306"/>
      <c r="R1038" s="144"/>
      <c r="S1038" s="144"/>
      <c r="U1038" s="292"/>
      <c r="W1038" s="36"/>
      <c r="X1038" s="174"/>
      <c r="Y1038" s="99"/>
      <c r="Z1038" s="5"/>
      <c r="AA1038" s="99"/>
      <c r="AB1038" s="57"/>
      <c r="AC1038" s="99"/>
      <c r="AD1038" s="99"/>
      <c r="AE1038" s="99"/>
      <c r="AF1038" s="174"/>
      <c r="AG1038" s="99"/>
      <c r="AH1038" s="5"/>
      <c r="AI1038" s="99"/>
      <c r="AJ1038" s="57"/>
      <c r="AK1038" s="99"/>
      <c r="AL1038" s="99"/>
      <c r="AM1038" s="99"/>
      <c r="AN1038" s="111"/>
      <c r="AO1038" s="295"/>
    </row>
    <row r="1039" spans="2:41" s="151" customFormat="1" ht="13.5" customHeight="1" x14ac:dyDescent="0.15">
      <c r="B1039" s="5"/>
      <c r="C1039" s="285"/>
      <c r="D1039" s="36"/>
      <c r="E1039" s="279"/>
      <c r="F1039" s="279"/>
      <c r="G1039" s="279"/>
      <c r="H1039" s="279"/>
      <c r="I1039" s="279"/>
      <c r="J1039" s="142"/>
      <c r="K1039" s="5"/>
      <c r="L1039" s="142"/>
      <c r="M1039" s="99"/>
      <c r="N1039" s="142"/>
      <c r="O1039" s="5"/>
      <c r="P1039" s="142"/>
      <c r="Q1039" s="99"/>
      <c r="R1039" s="142"/>
      <c r="S1039" s="142"/>
      <c r="U1039" s="292"/>
      <c r="W1039" s="36"/>
      <c r="X1039" s="174"/>
      <c r="Y1039" s="57"/>
      <c r="Z1039" s="172"/>
      <c r="AA1039" s="57"/>
      <c r="AB1039" s="57"/>
      <c r="AC1039" s="57"/>
      <c r="AD1039" s="57"/>
      <c r="AE1039" s="57"/>
      <c r="AF1039" s="174"/>
      <c r="AG1039" s="57"/>
      <c r="AH1039" s="172"/>
      <c r="AI1039" s="57"/>
      <c r="AJ1039" s="57"/>
      <c r="AK1039" s="57"/>
      <c r="AL1039" s="57"/>
      <c r="AM1039" s="57"/>
      <c r="AN1039" s="109"/>
      <c r="AO1039" s="295"/>
    </row>
    <row r="1040" spans="2:41" s="151" customFormat="1" x14ac:dyDescent="0.15">
      <c r="B1040" s="5"/>
      <c r="C1040" s="285"/>
      <c r="D1040" s="36"/>
      <c r="E1040" s="279"/>
      <c r="F1040" s="279"/>
      <c r="G1040" s="279"/>
      <c r="H1040" s="279"/>
      <c r="I1040" s="279"/>
      <c r="J1040" s="113"/>
      <c r="K1040" s="57"/>
      <c r="L1040" s="113"/>
      <c r="M1040" s="57"/>
      <c r="N1040" s="113"/>
      <c r="O1040" s="57"/>
      <c r="P1040" s="113"/>
      <c r="Q1040" s="57"/>
      <c r="R1040" s="113"/>
      <c r="S1040" s="113"/>
      <c r="U1040" s="292"/>
      <c r="W1040" s="36"/>
      <c r="X1040" s="5"/>
      <c r="Y1040" s="99"/>
      <c r="Z1040" s="99"/>
      <c r="AA1040" s="99"/>
      <c r="AB1040" s="99"/>
      <c r="AC1040" s="99"/>
      <c r="AD1040" s="99"/>
      <c r="AE1040" s="99"/>
      <c r="AF1040" s="5"/>
      <c r="AG1040" s="99"/>
      <c r="AH1040" s="99"/>
      <c r="AI1040" s="99"/>
      <c r="AJ1040" s="99"/>
      <c r="AK1040" s="99"/>
      <c r="AL1040" s="99"/>
      <c r="AM1040" s="99"/>
      <c r="AN1040" s="111"/>
      <c r="AO1040" s="99"/>
    </row>
    <row r="1041" spans="2:41" s="151" customFormat="1" ht="14.25" customHeight="1" x14ac:dyDescent="0.15">
      <c r="B1041" s="5"/>
      <c r="C1041" s="285"/>
      <c r="D1041" s="307"/>
      <c r="E1041" s="279"/>
      <c r="F1041" s="279"/>
      <c r="G1041" s="279"/>
      <c r="H1041" s="279"/>
      <c r="I1041" s="279"/>
      <c r="J1041" s="142"/>
      <c r="K1041" s="5"/>
      <c r="L1041" s="142"/>
      <c r="M1041" s="99"/>
      <c r="N1041" s="145"/>
      <c r="O1041" s="308"/>
      <c r="P1041" s="145"/>
      <c r="Q1041" s="147"/>
      <c r="R1041" s="145"/>
      <c r="S1041" s="145"/>
      <c r="U1041" s="292"/>
      <c r="W1041" s="36"/>
      <c r="X1041" s="5"/>
      <c r="Y1041" s="115"/>
      <c r="Z1041" s="113"/>
      <c r="AA1041" s="115"/>
      <c r="AB1041" s="113"/>
      <c r="AC1041" s="115"/>
      <c r="AD1041" s="113"/>
      <c r="AE1041" s="115"/>
      <c r="AF1041" s="5"/>
      <c r="AG1041" s="115"/>
      <c r="AH1041" s="113"/>
      <c r="AI1041" s="115"/>
      <c r="AJ1041" s="113"/>
      <c r="AK1041" s="115"/>
      <c r="AL1041" s="113"/>
      <c r="AM1041" s="115"/>
      <c r="AN1041" s="116"/>
      <c r="AO1041" s="115"/>
    </row>
    <row r="1042" spans="2:41" s="151" customFormat="1" x14ac:dyDescent="0.15">
      <c r="B1042" s="5"/>
      <c r="C1042" s="285"/>
      <c r="D1042" s="307"/>
      <c r="E1042" s="279"/>
      <c r="F1042" s="279"/>
      <c r="G1042" s="279"/>
      <c r="H1042" s="279"/>
      <c r="I1042" s="279"/>
      <c r="J1042" s="113"/>
      <c r="K1042" s="57"/>
      <c r="L1042" s="113"/>
      <c r="M1042" s="57"/>
      <c r="N1042" s="146"/>
      <c r="O1042" s="309"/>
      <c r="P1042" s="146"/>
      <c r="Q1042" s="309"/>
      <c r="R1042" s="146"/>
      <c r="S1042" s="146"/>
      <c r="U1042" s="292"/>
      <c r="AN1042" s="280"/>
    </row>
    <row r="1043" spans="2:41" s="151" customFormat="1" ht="13.5" customHeight="1" x14ac:dyDescent="0.15">
      <c r="B1043" s="5"/>
      <c r="C1043" s="285"/>
      <c r="D1043" s="307"/>
      <c r="E1043" s="279"/>
      <c r="F1043" s="279"/>
      <c r="G1043" s="279"/>
      <c r="H1043" s="279"/>
      <c r="I1043" s="279"/>
      <c r="J1043" s="142"/>
      <c r="K1043" s="5"/>
      <c r="L1043" s="142"/>
      <c r="M1043" s="99"/>
      <c r="N1043" s="145"/>
      <c r="O1043" s="308"/>
      <c r="P1043" s="145"/>
      <c r="Q1043" s="147"/>
      <c r="R1043" s="145"/>
      <c r="S1043" s="145"/>
      <c r="U1043" s="292"/>
      <c r="AN1043" s="280"/>
    </row>
    <row r="1044" spans="2:41" s="151" customFormat="1" x14ac:dyDescent="0.15">
      <c r="B1044" s="5"/>
      <c r="C1044" s="285"/>
      <c r="D1044" s="307"/>
      <c r="E1044" s="279"/>
      <c r="F1044" s="279"/>
      <c r="G1044" s="279"/>
      <c r="H1044" s="279"/>
      <c r="I1044" s="279"/>
      <c r="J1044" s="113"/>
      <c r="K1044" s="57"/>
      <c r="L1044" s="113"/>
      <c r="M1044" s="57"/>
      <c r="N1044" s="146"/>
      <c r="O1044" s="309"/>
      <c r="P1044" s="146"/>
      <c r="Q1044" s="309"/>
      <c r="R1044" s="146"/>
      <c r="S1044" s="146"/>
      <c r="U1044" s="292"/>
      <c r="W1044" s="291"/>
      <c r="X1044" s="5"/>
      <c r="Y1044" s="5"/>
      <c r="Z1044" s="5"/>
      <c r="AA1044" s="5"/>
      <c r="AB1044" s="5"/>
      <c r="AC1044" s="284"/>
      <c r="AD1044" s="5"/>
      <c r="AE1044" s="5"/>
      <c r="AF1044" s="5"/>
      <c r="AG1044" s="5"/>
      <c r="AH1044" s="5"/>
      <c r="AI1044" s="5"/>
      <c r="AJ1044" s="5"/>
      <c r="AK1044" s="5"/>
      <c r="AL1044" s="5"/>
      <c r="AM1044" s="5"/>
      <c r="AN1044" s="280"/>
    </row>
    <row r="1045" spans="2:41" s="151" customFormat="1" ht="13.5" customHeight="1" x14ac:dyDescent="0.15">
      <c r="B1045" s="5"/>
      <c r="C1045" s="285"/>
      <c r="D1045" s="307"/>
      <c r="E1045" s="279"/>
      <c r="F1045" s="279"/>
      <c r="G1045" s="279"/>
      <c r="H1045" s="279"/>
      <c r="I1045" s="279"/>
      <c r="J1045" s="142"/>
      <c r="K1045" s="5"/>
      <c r="L1045" s="142"/>
      <c r="M1045" s="99"/>
      <c r="N1045" s="145"/>
      <c r="O1045" s="308"/>
      <c r="P1045" s="145"/>
      <c r="Q1045" s="147"/>
      <c r="R1045" s="145"/>
      <c r="S1045" s="145"/>
      <c r="U1045" s="292"/>
      <c r="W1045" s="5"/>
      <c r="X1045" s="173"/>
      <c r="Y1045" s="36"/>
      <c r="Z1045" s="36"/>
      <c r="AA1045" s="36"/>
      <c r="AB1045" s="36"/>
      <c r="AC1045" s="36"/>
      <c r="AD1045" s="36"/>
      <c r="AE1045" s="36"/>
      <c r="AF1045" s="173"/>
      <c r="AG1045" s="36"/>
      <c r="AH1045" s="36"/>
      <c r="AI1045" s="36"/>
      <c r="AJ1045" s="36"/>
      <c r="AK1045" s="36"/>
      <c r="AL1045" s="36"/>
      <c r="AM1045" s="36"/>
      <c r="AN1045" s="294"/>
      <c r="AO1045" s="294"/>
    </row>
    <row r="1046" spans="2:41" s="151" customFormat="1" x14ac:dyDescent="0.15">
      <c r="B1046" s="5"/>
      <c r="C1046" s="285"/>
      <c r="D1046" s="307"/>
      <c r="E1046" s="279"/>
      <c r="F1046" s="279"/>
      <c r="G1046" s="279"/>
      <c r="H1046" s="279"/>
      <c r="I1046" s="279"/>
      <c r="J1046" s="113"/>
      <c r="K1046" s="57"/>
      <c r="L1046" s="113"/>
      <c r="M1046" s="57"/>
      <c r="N1046" s="146"/>
      <c r="O1046" s="309"/>
      <c r="P1046" s="146"/>
      <c r="Q1046" s="309"/>
      <c r="R1046" s="146"/>
      <c r="S1046" s="146"/>
      <c r="U1046" s="292"/>
      <c r="W1046" s="5"/>
      <c r="X1046" s="173"/>
      <c r="Y1046" s="173"/>
      <c r="Z1046" s="102"/>
      <c r="AA1046" s="102"/>
      <c r="AB1046" s="293"/>
      <c r="AC1046" s="293"/>
      <c r="AD1046" s="102"/>
      <c r="AE1046" s="102"/>
      <c r="AF1046" s="173"/>
      <c r="AG1046" s="173"/>
      <c r="AH1046" s="102"/>
      <c r="AI1046" s="102"/>
      <c r="AJ1046" s="293"/>
      <c r="AK1046" s="293"/>
      <c r="AL1046" s="102"/>
      <c r="AM1046" s="102"/>
      <c r="AN1046" s="294"/>
      <c r="AO1046" s="294"/>
    </row>
    <row r="1047" spans="2:41" s="151" customFormat="1" ht="13.5" customHeight="1" x14ac:dyDescent="0.15">
      <c r="B1047" s="5"/>
      <c r="C1047" s="285"/>
      <c r="D1047" s="307"/>
      <c r="E1047" s="279"/>
      <c r="F1047" s="279"/>
      <c r="G1047" s="279"/>
      <c r="H1047" s="279"/>
      <c r="I1047" s="279"/>
      <c r="J1047" s="142"/>
      <c r="K1047" s="5"/>
      <c r="L1047" s="142"/>
      <c r="M1047" s="99"/>
      <c r="N1047" s="145"/>
      <c r="O1047" s="308"/>
      <c r="P1047" s="145"/>
      <c r="Q1047" s="147"/>
      <c r="R1047" s="145"/>
      <c r="S1047" s="145"/>
      <c r="U1047" s="292"/>
      <c r="W1047" s="285"/>
      <c r="X1047" s="173"/>
      <c r="Y1047" s="99"/>
      <c r="Z1047" s="173"/>
      <c r="AA1047" s="99"/>
      <c r="AB1047" s="110"/>
      <c r="AC1047" s="99"/>
      <c r="AD1047" s="99"/>
      <c r="AE1047" s="99"/>
      <c r="AF1047" s="173"/>
      <c r="AG1047" s="99"/>
      <c r="AH1047" s="173"/>
      <c r="AI1047" s="99"/>
      <c r="AJ1047" s="110"/>
      <c r="AK1047" s="99"/>
      <c r="AL1047" s="110"/>
      <c r="AM1047" s="99"/>
      <c r="AN1047" s="111"/>
      <c r="AO1047" s="294"/>
    </row>
    <row r="1048" spans="2:41" s="151" customFormat="1" x14ac:dyDescent="0.15">
      <c r="B1048" s="5"/>
      <c r="C1048" s="285"/>
      <c r="D1048" s="307"/>
      <c r="E1048" s="279"/>
      <c r="F1048" s="279"/>
      <c r="G1048" s="279"/>
      <c r="H1048" s="279"/>
      <c r="I1048" s="279"/>
      <c r="J1048" s="113"/>
      <c r="K1048" s="57"/>
      <c r="L1048" s="113"/>
      <c r="M1048" s="57"/>
      <c r="N1048" s="146"/>
      <c r="O1048" s="309"/>
      <c r="P1048" s="146"/>
      <c r="Q1048" s="309"/>
      <c r="R1048" s="146"/>
      <c r="S1048" s="146"/>
      <c r="U1048" s="292"/>
      <c r="W1048" s="285"/>
      <c r="X1048" s="173"/>
      <c r="Y1048" s="57"/>
      <c r="Z1048" s="172"/>
      <c r="AA1048" s="57"/>
      <c r="AB1048" s="57"/>
      <c r="AC1048" s="57"/>
      <c r="AD1048" s="57"/>
      <c r="AE1048" s="57"/>
      <c r="AF1048" s="173"/>
      <c r="AG1048" s="57"/>
      <c r="AH1048" s="172"/>
      <c r="AI1048" s="57"/>
      <c r="AJ1048" s="57"/>
      <c r="AK1048" s="57"/>
      <c r="AL1048" s="57"/>
      <c r="AM1048" s="57"/>
      <c r="AN1048" s="111"/>
      <c r="AO1048" s="57"/>
    </row>
    <row r="1049" spans="2:41" s="151" customFormat="1" x14ac:dyDescent="0.15">
      <c r="B1049" s="5"/>
      <c r="C1049" s="285"/>
      <c r="D1049" s="307"/>
      <c r="E1049" s="279"/>
      <c r="F1049" s="279"/>
      <c r="G1049" s="279"/>
      <c r="H1049" s="279"/>
      <c r="I1049" s="279"/>
      <c r="J1049" s="142"/>
      <c r="K1049" s="5"/>
      <c r="L1049" s="297"/>
      <c r="M1049" s="99"/>
      <c r="N1049" s="145"/>
      <c r="O1049" s="308"/>
      <c r="P1049" s="310"/>
      <c r="Q1049" s="147"/>
      <c r="R1049" s="145"/>
      <c r="S1049" s="145"/>
      <c r="U1049" s="292"/>
      <c r="W1049" s="285"/>
      <c r="X1049" s="173"/>
      <c r="Y1049" s="99"/>
      <c r="Z1049" s="173"/>
      <c r="AA1049" s="99"/>
      <c r="AB1049" s="110"/>
      <c r="AC1049" s="99"/>
      <c r="AD1049" s="99"/>
      <c r="AE1049" s="99"/>
      <c r="AF1049" s="173"/>
      <c r="AG1049" s="99"/>
      <c r="AH1049" s="173"/>
      <c r="AI1049" s="99"/>
      <c r="AJ1049" s="110"/>
      <c r="AK1049" s="99"/>
      <c r="AL1049" s="110"/>
      <c r="AM1049" s="99"/>
      <c r="AN1049" s="111"/>
      <c r="AO1049" s="99"/>
    </row>
    <row r="1050" spans="2:41" s="151" customFormat="1" x14ac:dyDescent="0.15">
      <c r="B1050" s="5"/>
      <c r="C1050" s="285"/>
      <c r="D1050" s="307"/>
      <c r="E1050" s="279"/>
      <c r="F1050" s="279"/>
      <c r="G1050" s="279"/>
      <c r="H1050" s="279"/>
      <c r="I1050" s="279"/>
      <c r="J1050" s="113"/>
      <c r="K1050" s="57"/>
      <c r="L1050" s="113"/>
      <c r="M1050" s="57"/>
      <c r="N1050" s="146"/>
      <c r="O1050" s="309"/>
      <c r="P1050" s="146"/>
      <c r="Q1050" s="309"/>
      <c r="R1050" s="146"/>
      <c r="S1050" s="146"/>
      <c r="U1050" s="292"/>
      <c r="W1050" s="285"/>
      <c r="X1050" s="173"/>
      <c r="Y1050" s="57"/>
      <c r="Z1050" s="172"/>
      <c r="AA1050" s="57"/>
      <c r="AB1050" s="57"/>
      <c r="AC1050" s="57"/>
      <c r="AD1050" s="57"/>
      <c r="AE1050" s="57"/>
      <c r="AF1050" s="173"/>
      <c r="AG1050" s="57"/>
      <c r="AH1050" s="172"/>
      <c r="AI1050" s="57"/>
      <c r="AJ1050" s="110"/>
      <c r="AK1050" s="57"/>
      <c r="AL1050" s="110"/>
      <c r="AM1050" s="57"/>
      <c r="AN1050" s="109"/>
      <c r="AO1050" s="57"/>
    </row>
    <row r="1051" spans="2:41" s="151" customFormat="1" ht="13.5" customHeight="1" x14ac:dyDescent="0.15">
      <c r="B1051" s="5"/>
      <c r="C1051" s="285"/>
      <c r="D1051" s="307"/>
      <c r="E1051" s="279"/>
      <c r="F1051" s="279"/>
      <c r="G1051" s="279"/>
      <c r="H1051" s="279"/>
      <c r="I1051" s="279"/>
      <c r="J1051" s="142"/>
      <c r="K1051" s="5"/>
      <c r="L1051" s="142"/>
      <c r="M1051" s="99"/>
      <c r="N1051" s="145"/>
      <c r="O1051" s="308"/>
      <c r="P1051" s="145"/>
      <c r="Q1051" s="147"/>
      <c r="R1051" s="145"/>
      <c r="S1051" s="145"/>
      <c r="U1051" s="292"/>
      <c r="W1051" s="36"/>
      <c r="X1051" s="173"/>
      <c r="Y1051" s="99"/>
      <c r="Z1051" s="173"/>
      <c r="AA1051" s="99"/>
      <c r="AB1051" s="110"/>
      <c r="AC1051" s="99"/>
      <c r="AD1051" s="99"/>
      <c r="AE1051" s="99"/>
      <c r="AF1051" s="173"/>
      <c r="AG1051" s="99"/>
      <c r="AH1051" s="173"/>
      <c r="AI1051" s="99"/>
      <c r="AJ1051" s="110"/>
      <c r="AK1051" s="99"/>
      <c r="AL1051" s="110"/>
      <c r="AM1051" s="99"/>
      <c r="AN1051" s="111"/>
      <c r="AO1051" s="99"/>
    </row>
    <row r="1052" spans="2:41" s="151" customFormat="1" x14ac:dyDescent="0.15">
      <c r="B1052" s="5"/>
      <c r="C1052" s="285"/>
      <c r="D1052" s="307"/>
      <c r="E1052" s="279"/>
      <c r="F1052" s="279"/>
      <c r="G1052" s="279"/>
      <c r="H1052" s="279"/>
      <c r="I1052" s="279"/>
      <c r="J1052" s="113"/>
      <c r="K1052" s="57"/>
      <c r="L1052" s="113"/>
      <c r="M1052" s="57"/>
      <c r="N1052" s="146"/>
      <c r="O1052" s="309"/>
      <c r="P1052" s="146"/>
      <c r="Q1052" s="309"/>
      <c r="R1052" s="146"/>
      <c r="S1052" s="146"/>
      <c r="U1052" s="292"/>
      <c r="W1052" s="36"/>
      <c r="X1052" s="173"/>
      <c r="Y1052" s="57"/>
      <c r="Z1052" s="172"/>
      <c r="AA1052" s="57"/>
      <c r="AB1052" s="57"/>
      <c r="AC1052" s="57"/>
      <c r="AD1052" s="57"/>
      <c r="AE1052" s="57"/>
      <c r="AF1052" s="173"/>
      <c r="AG1052" s="57"/>
      <c r="AH1052" s="172"/>
      <c r="AI1052" s="57"/>
      <c r="AJ1052" s="110"/>
      <c r="AK1052" s="57"/>
      <c r="AL1052" s="110"/>
      <c r="AM1052" s="57"/>
      <c r="AN1052" s="109"/>
      <c r="AO1052" s="57"/>
    </row>
    <row r="1053" spans="2:41" s="151" customFormat="1" ht="13.5" customHeight="1" x14ac:dyDescent="0.15">
      <c r="B1053" s="5"/>
      <c r="C1053" s="118"/>
      <c r="D1053" s="307"/>
      <c r="E1053" s="279"/>
      <c r="F1053" s="279"/>
      <c r="G1053" s="279"/>
      <c r="H1053" s="279"/>
      <c r="I1053" s="279"/>
      <c r="J1053" s="142"/>
      <c r="K1053" s="5"/>
      <c r="L1053" s="142"/>
      <c r="M1053" s="99"/>
      <c r="N1053" s="145"/>
      <c r="O1053" s="308"/>
      <c r="P1053" s="145"/>
      <c r="Q1053" s="147"/>
      <c r="R1053" s="145"/>
      <c r="S1053" s="145"/>
      <c r="U1053" s="292"/>
      <c r="W1053" s="175"/>
      <c r="X1053" s="173"/>
      <c r="Y1053" s="99"/>
      <c r="Z1053" s="173"/>
      <c r="AA1053" s="99"/>
      <c r="AB1053" s="110"/>
      <c r="AC1053" s="99"/>
      <c r="AD1053" s="99"/>
      <c r="AE1053" s="99"/>
      <c r="AF1053" s="173"/>
      <c r="AG1053" s="99"/>
      <c r="AH1053" s="173"/>
      <c r="AI1053" s="99"/>
      <c r="AJ1053" s="110"/>
      <c r="AK1053" s="99"/>
      <c r="AL1053" s="110"/>
      <c r="AM1053" s="99"/>
      <c r="AN1053" s="111"/>
      <c r="AO1053" s="99"/>
    </row>
    <row r="1054" spans="2:41" s="151" customFormat="1" x14ac:dyDescent="0.15">
      <c r="B1054" s="5"/>
      <c r="C1054" s="118"/>
      <c r="D1054" s="307"/>
      <c r="E1054" s="279"/>
      <c r="F1054" s="279"/>
      <c r="G1054" s="279"/>
      <c r="H1054" s="279"/>
      <c r="I1054" s="279"/>
      <c r="J1054" s="113"/>
      <c r="K1054" s="57"/>
      <c r="L1054" s="113"/>
      <c r="M1054" s="57"/>
      <c r="N1054" s="146"/>
      <c r="O1054" s="309"/>
      <c r="P1054" s="146"/>
      <c r="Q1054" s="309"/>
      <c r="R1054" s="146"/>
      <c r="S1054" s="146"/>
      <c r="U1054" s="292"/>
      <c r="W1054" s="175"/>
      <c r="X1054" s="173"/>
      <c r="Y1054" s="57"/>
      <c r="Z1054" s="172"/>
      <c r="AA1054" s="57"/>
      <c r="AB1054" s="57"/>
      <c r="AC1054" s="57"/>
      <c r="AD1054" s="57"/>
      <c r="AE1054" s="57"/>
      <c r="AF1054" s="173"/>
      <c r="AG1054" s="57"/>
      <c r="AH1054" s="57"/>
      <c r="AI1054" s="57"/>
      <c r="AJ1054" s="110"/>
      <c r="AK1054" s="57"/>
      <c r="AL1054" s="110"/>
      <c r="AM1054" s="57"/>
      <c r="AN1054" s="109"/>
      <c r="AO1054" s="57"/>
    </row>
    <row r="1055" spans="2:41" s="151" customFormat="1" x14ac:dyDescent="0.15">
      <c r="B1055" s="5"/>
      <c r="C1055" s="285"/>
      <c r="D1055" s="117"/>
      <c r="E1055" s="117"/>
      <c r="F1055" s="117"/>
      <c r="G1055" s="117"/>
      <c r="H1055" s="117"/>
      <c r="I1055" s="117"/>
      <c r="J1055" s="113"/>
      <c r="K1055" s="99"/>
      <c r="L1055" s="99"/>
      <c r="M1055" s="99"/>
      <c r="N1055" s="146"/>
      <c r="O1055" s="147"/>
      <c r="P1055" s="147"/>
      <c r="Q1055" s="147"/>
      <c r="R1055" s="147"/>
      <c r="S1055" s="147"/>
      <c r="U1055" s="292"/>
      <c r="W1055" s="285"/>
      <c r="X1055" s="173"/>
      <c r="Y1055" s="99"/>
      <c r="Z1055" s="57"/>
      <c r="AA1055" s="99"/>
      <c r="AB1055" s="110"/>
      <c r="AC1055" s="99"/>
      <c r="AD1055" s="99"/>
      <c r="AE1055" s="99"/>
      <c r="AF1055" s="173"/>
      <c r="AG1055" s="99"/>
      <c r="AH1055" s="173"/>
      <c r="AI1055" s="99"/>
      <c r="AJ1055" s="110"/>
      <c r="AK1055" s="99"/>
      <c r="AL1055" s="110"/>
      <c r="AM1055" s="99"/>
      <c r="AN1055" s="111"/>
      <c r="AO1055" s="99"/>
    </row>
    <row r="1056" spans="2:41" s="151" customFormat="1" x14ac:dyDescent="0.15">
      <c r="B1056" s="5"/>
      <c r="C1056" s="285"/>
      <c r="D1056" s="117"/>
      <c r="E1056" s="117"/>
      <c r="F1056" s="117"/>
      <c r="G1056" s="117"/>
      <c r="H1056" s="117"/>
      <c r="I1056" s="117"/>
      <c r="J1056" s="5"/>
      <c r="K1056" s="99"/>
      <c r="L1056" s="99"/>
      <c r="M1056" s="99"/>
      <c r="N1056" s="308"/>
      <c r="O1056" s="147"/>
      <c r="P1056" s="147"/>
      <c r="Q1056" s="147"/>
      <c r="R1056" s="147"/>
      <c r="S1056" s="147"/>
      <c r="U1056" s="292"/>
      <c r="W1056" s="285"/>
      <c r="X1056" s="173"/>
      <c r="Y1056" s="57"/>
      <c r="Z1056" s="172"/>
      <c r="AA1056" s="57"/>
      <c r="AB1056" s="57"/>
      <c r="AC1056" s="57"/>
      <c r="AD1056" s="57"/>
      <c r="AE1056" s="57"/>
      <c r="AF1056" s="173"/>
      <c r="AG1056" s="57"/>
      <c r="AH1056" s="57"/>
      <c r="AI1056" s="57"/>
      <c r="AJ1056" s="110"/>
      <c r="AK1056" s="57"/>
      <c r="AL1056" s="110"/>
      <c r="AM1056" s="57"/>
      <c r="AN1056" s="109"/>
      <c r="AO1056" s="57"/>
    </row>
    <row r="1057" spans="2:41" s="151" customFormat="1" x14ac:dyDescent="0.15">
      <c r="B1057" s="5"/>
      <c r="C1057" s="5"/>
      <c r="D1057" s="117"/>
      <c r="E1057" s="36"/>
      <c r="F1057" s="36"/>
      <c r="G1057" s="36"/>
      <c r="H1057" s="36"/>
      <c r="I1057" s="36"/>
      <c r="J1057" s="5"/>
      <c r="K1057" s="311"/>
      <c r="L1057" s="110"/>
      <c r="M1057" s="311"/>
      <c r="N1057" s="308"/>
      <c r="O1057" s="312"/>
      <c r="P1057" s="313"/>
      <c r="Q1057" s="312"/>
      <c r="R1057" s="313"/>
      <c r="S1057" s="313"/>
      <c r="U1057" s="292"/>
      <c r="W1057" s="285"/>
      <c r="X1057" s="173"/>
      <c r="Y1057" s="102"/>
      <c r="Z1057" s="172"/>
      <c r="AA1057" s="102"/>
      <c r="AB1057" s="57"/>
      <c r="AC1057" s="102"/>
      <c r="AD1057" s="57"/>
      <c r="AE1057" s="102"/>
      <c r="AF1057" s="173"/>
      <c r="AG1057" s="99"/>
      <c r="AH1057" s="173"/>
      <c r="AI1057" s="99"/>
      <c r="AJ1057" s="110"/>
      <c r="AK1057" s="99"/>
      <c r="AL1057" s="110"/>
      <c r="AM1057" s="99"/>
      <c r="AN1057" s="111"/>
      <c r="AO1057" s="99"/>
    </row>
    <row r="1058" spans="2:41" s="151" customFormat="1" x14ac:dyDescent="0.15"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U1058" s="292"/>
      <c r="W1058" s="285"/>
      <c r="X1058" s="173"/>
      <c r="Y1058" s="102"/>
      <c r="Z1058" s="172"/>
      <c r="AA1058" s="102"/>
      <c r="AB1058" s="57"/>
      <c r="AC1058" s="102"/>
      <c r="AD1058" s="57"/>
      <c r="AE1058" s="102"/>
      <c r="AF1058" s="173"/>
      <c r="AG1058" s="57"/>
      <c r="AH1058" s="57"/>
      <c r="AI1058" s="57"/>
      <c r="AJ1058" s="110"/>
      <c r="AK1058" s="57"/>
      <c r="AL1058" s="110"/>
      <c r="AM1058" s="57"/>
      <c r="AN1058" s="109"/>
      <c r="AO1058" s="57"/>
    </row>
    <row r="1059" spans="2:41" s="151" customFormat="1" x14ac:dyDescent="0.15"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U1059" s="292"/>
      <c r="W1059" s="285"/>
      <c r="X1059" s="173"/>
      <c r="Y1059" s="99"/>
      <c r="Z1059" s="172"/>
      <c r="AA1059" s="99"/>
      <c r="AB1059" s="57"/>
      <c r="AC1059" s="99"/>
      <c r="AD1059" s="57"/>
      <c r="AE1059" s="99"/>
      <c r="AF1059" s="173"/>
      <c r="AG1059" s="99"/>
      <c r="AH1059" s="173"/>
      <c r="AI1059" s="99"/>
      <c r="AJ1059" s="110"/>
      <c r="AK1059" s="99"/>
      <c r="AL1059" s="110"/>
      <c r="AM1059" s="99"/>
      <c r="AN1059" s="296"/>
      <c r="AO1059" s="99"/>
    </row>
    <row r="1060" spans="2:41" s="151" customFormat="1" x14ac:dyDescent="0.15">
      <c r="B1060" s="5"/>
      <c r="C1060" s="5"/>
      <c r="D1060" s="36"/>
      <c r="E1060" s="36"/>
      <c r="F1060" s="36"/>
      <c r="G1060" s="36"/>
      <c r="H1060" s="36"/>
      <c r="I1060" s="36"/>
      <c r="J1060" s="36"/>
      <c r="K1060" s="36"/>
      <c r="L1060" s="36"/>
      <c r="M1060" s="36"/>
      <c r="N1060" s="36"/>
      <c r="O1060" s="36"/>
      <c r="P1060" s="36"/>
      <c r="Q1060" s="36"/>
      <c r="R1060" s="36"/>
      <c r="S1060" s="173"/>
      <c r="U1060" s="292"/>
      <c r="W1060" s="285"/>
      <c r="X1060" s="173"/>
      <c r="Y1060" s="57"/>
      <c r="Z1060" s="172"/>
      <c r="AA1060" s="57"/>
      <c r="AB1060" s="57"/>
      <c r="AC1060" s="57"/>
      <c r="AD1060" s="57"/>
      <c r="AE1060" s="57"/>
      <c r="AF1060" s="173"/>
      <c r="AG1060" s="57"/>
      <c r="AH1060" s="57"/>
      <c r="AI1060" s="57"/>
      <c r="AJ1060" s="110"/>
      <c r="AK1060" s="57"/>
      <c r="AL1060" s="110"/>
      <c r="AM1060" s="57"/>
      <c r="AN1060" s="296"/>
      <c r="AO1060" s="57"/>
    </row>
    <row r="1061" spans="2:41" s="151" customFormat="1" x14ac:dyDescent="0.15">
      <c r="B1061" s="5"/>
      <c r="C1061" s="5"/>
      <c r="D1061" s="36"/>
      <c r="E1061" s="36"/>
      <c r="F1061" s="36"/>
      <c r="G1061" s="36"/>
      <c r="H1061" s="36"/>
      <c r="I1061" s="36"/>
      <c r="J1061" s="174"/>
      <c r="K1061" s="173"/>
      <c r="L1061" s="102"/>
      <c r="M1061" s="102"/>
      <c r="N1061" s="174"/>
      <c r="O1061" s="173"/>
      <c r="P1061" s="102"/>
      <c r="Q1061" s="102"/>
      <c r="R1061" s="172"/>
      <c r="S1061" s="172"/>
      <c r="U1061" s="292"/>
      <c r="W1061" s="285"/>
      <c r="X1061" s="173"/>
      <c r="Y1061" s="99"/>
      <c r="Z1061" s="172"/>
      <c r="AA1061" s="99"/>
      <c r="AB1061" s="57"/>
      <c r="AC1061" s="99"/>
      <c r="AD1061" s="57"/>
      <c r="AE1061" s="99"/>
      <c r="AF1061" s="173"/>
      <c r="AG1061" s="99"/>
      <c r="AH1061" s="173"/>
      <c r="AI1061" s="99"/>
      <c r="AJ1061" s="110"/>
      <c r="AK1061" s="99"/>
      <c r="AL1061" s="110"/>
      <c r="AM1061" s="99"/>
      <c r="AN1061" s="296"/>
      <c r="AO1061" s="99"/>
    </row>
    <row r="1062" spans="2:41" s="151" customFormat="1" ht="13.5" customHeight="1" x14ac:dyDescent="0.15">
      <c r="B1062" s="5"/>
      <c r="C1062" s="36"/>
      <c r="D1062" s="36"/>
      <c r="E1062" s="279"/>
      <c r="F1062" s="279"/>
      <c r="G1062" s="279"/>
      <c r="H1062" s="279"/>
      <c r="I1062" s="279"/>
      <c r="J1062" s="314"/>
      <c r="K1062" s="5"/>
      <c r="L1062" s="173"/>
      <c r="M1062" s="99"/>
      <c r="N1062" s="314"/>
      <c r="O1062" s="5"/>
      <c r="P1062" s="173"/>
      <c r="Q1062" s="99"/>
      <c r="R1062" s="173"/>
      <c r="S1062" s="173"/>
      <c r="U1062" s="292"/>
      <c r="W1062" s="285"/>
      <c r="X1062" s="173"/>
      <c r="Y1062" s="57"/>
      <c r="Z1062" s="172"/>
      <c r="AA1062" s="57"/>
      <c r="AB1062" s="57"/>
      <c r="AC1062" s="57"/>
      <c r="AD1062" s="57"/>
      <c r="AE1062" s="57"/>
      <c r="AF1062" s="173"/>
      <c r="AG1062" s="57"/>
      <c r="AH1062" s="57"/>
      <c r="AI1062" s="57"/>
      <c r="AJ1062" s="110"/>
      <c r="AK1062" s="57"/>
      <c r="AL1062" s="110"/>
      <c r="AM1062" s="57"/>
      <c r="AN1062" s="296"/>
      <c r="AO1062" s="57"/>
    </row>
    <row r="1063" spans="2:41" s="151" customFormat="1" x14ac:dyDescent="0.15">
      <c r="B1063" s="5"/>
      <c r="C1063" s="36"/>
      <c r="D1063" s="36"/>
      <c r="E1063" s="279"/>
      <c r="F1063" s="279"/>
      <c r="G1063" s="279"/>
      <c r="H1063" s="279"/>
      <c r="I1063" s="279"/>
      <c r="J1063" s="314"/>
      <c r="K1063" s="57"/>
      <c r="L1063" s="172"/>
      <c r="M1063" s="57"/>
      <c r="N1063" s="314"/>
      <c r="O1063" s="57"/>
      <c r="P1063" s="172"/>
      <c r="Q1063" s="57"/>
      <c r="R1063" s="172"/>
      <c r="S1063" s="172"/>
      <c r="U1063" s="292"/>
      <c r="W1063" s="285"/>
      <c r="X1063" s="173"/>
      <c r="Y1063" s="99"/>
      <c r="Z1063" s="172"/>
      <c r="AA1063" s="99"/>
      <c r="AB1063" s="57"/>
      <c r="AC1063" s="99"/>
      <c r="AD1063" s="57"/>
      <c r="AE1063" s="99"/>
      <c r="AF1063" s="173"/>
      <c r="AG1063" s="99"/>
      <c r="AH1063" s="173"/>
      <c r="AI1063" s="99"/>
      <c r="AJ1063" s="110"/>
      <c r="AK1063" s="99"/>
      <c r="AL1063" s="110"/>
      <c r="AM1063" s="99"/>
      <c r="AN1063" s="296"/>
      <c r="AO1063" s="99"/>
    </row>
    <row r="1064" spans="2:41" s="151" customFormat="1" ht="13.5" customHeight="1" x14ac:dyDescent="0.15">
      <c r="B1064" s="5"/>
      <c r="C1064" s="36"/>
      <c r="D1064" s="36"/>
      <c r="E1064" s="279"/>
      <c r="F1064" s="279"/>
      <c r="G1064" s="279"/>
      <c r="H1064" s="279"/>
      <c r="I1064" s="279"/>
      <c r="J1064" s="314"/>
      <c r="K1064" s="5"/>
      <c r="L1064" s="173"/>
      <c r="M1064" s="99"/>
      <c r="N1064" s="314"/>
      <c r="O1064" s="5"/>
      <c r="P1064" s="173"/>
      <c r="Q1064" s="99"/>
      <c r="R1064" s="173"/>
      <c r="S1064" s="173"/>
      <c r="U1064" s="292"/>
      <c r="W1064" s="285"/>
      <c r="X1064" s="173"/>
      <c r="Y1064" s="57"/>
      <c r="Z1064" s="172"/>
      <c r="AA1064" s="57"/>
      <c r="AB1064" s="57"/>
      <c r="AC1064" s="57"/>
      <c r="AD1064" s="57"/>
      <c r="AE1064" s="57"/>
      <c r="AF1064" s="173"/>
      <c r="AG1064" s="57"/>
      <c r="AH1064" s="57"/>
      <c r="AI1064" s="57"/>
      <c r="AJ1064" s="110"/>
      <c r="AK1064" s="57"/>
      <c r="AL1064" s="110"/>
      <c r="AM1064" s="57"/>
      <c r="AN1064" s="296"/>
      <c r="AO1064" s="57"/>
    </row>
    <row r="1065" spans="2:41" s="151" customFormat="1" x14ac:dyDescent="0.15">
      <c r="B1065" s="5"/>
      <c r="C1065" s="36"/>
      <c r="D1065" s="36"/>
      <c r="E1065" s="279"/>
      <c r="F1065" s="279"/>
      <c r="G1065" s="279"/>
      <c r="H1065" s="279"/>
      <c r="I1065" s="279"/>
      <c r="J1065" s="314"/>
      <c r="K1065" s="57"/>
      <c r="L1065" s="172"/>
      <c r="M1065" s="57"/>
      <c r="N1065" s="314"/>
      <c r="O1065" s="57"/>
      <c r="P1065" s="172"/>
      <c r="Q1065" s="57"/>
      <c r="R1065" s="172"/>
      <c r="S1065" s="172"/>
      <c r="U1065" s="292"/>
      <c r="W1065" s="175"/>
      <c r="X1065" s="173"/>
      <c r="Y1065" s="99"/>
      <c r="Z1065" s="172"/>
      <c r="AA1065" s="99"/>
      <c r="AB1065" s="57"/>
      <c r="AC1065" s="99"/>
      <c r="AD1065" s="57"/>
      <c r="AE1065" s="99"/>
      <c r="AF1065" s="173"/>
      <c r="AG1065" s="99"/>
      <c r="AH1065" s="173"/>
      <c r="AI1065" s="99"/>
      <c r="AJ1065" s="110"/>
      <c r="AK1065" s="99"/>
      <c r="AL1065" s="110"/>
      <c r="AM1065" s="99"/>
      <c r="AN1065" s="296"/>
      <c r="AO1065" s="99"/>
    </row>
    <row r="1066" spans="2:41" s="151" customFormat="1" ht="13.5" customHeight="1" x14ac:dyDescent="0.15">
      <c r="B1066" s="5"/>
      <c r="C1066" s="36"/>
      <c r="D1066" s="36"/>
      <c r="E1066" s="279"/>
      <c r="F1066" s="279"/>
      <c r="G1066" s="279"/>
      <c r="H1066" s="279"/>
      <c r="I1066" s="279"/>
      <c r="J1066" s="314"/>
      <c r="K1066" s="5"/>
      <c r="L1066" s="173"/>
      <c r="M1066" s="99"/>
      <c r="N1066" s="314"/>
      <c r="O1066" s="5"/>
      <c r="P1066" s="173"/>
      <c r="Q1066" s="99"/>
      <c r="R1066" s="173"/>
      <c r="S1066" s="173"/>
      <c r="U1066" s="292"/>
      <c r="W1066" s="175"/>
      <c r="X1066" s="173"/>
      <c r="Y1066" s="57"/>
      <c r="Z1066" s="172"/>
      <c r="AA1066" s="57"/>
      <c r="AB1066" s="57"/>
      <c r="AC1066" s="57"/>
      <c r="AD1066" s="57"/>
      <c r="AE1066" s="57"/>
      <c r="AF1066" s="173"/>
      <c r="AG1066" s="57"/>
      <c r="AH1066" s="57"/>
      <c r="AI1066" s="57"/>
      <c r="AJ1066" s="110"/>
      <c r="AK1066" s="57"/>
      <c r="AL1066" s="110"/>
      <c r="AM1066" s="57"/>
      <c r="AN1066" s="296"/>
      <c r="AO1066" s="57"/>
    </row>
    <row r="1067" spans="2:41" s="151" customFormat="1" x14ac:dyDescent="0.15">
      <c r="B1067" s="5"/>
      <c r="C1067" s="36"/>
      <c r="D1067" s="36"/>
      <c r="E1067" s="279"/>
      <c r="F1067" s="279"/>
      <c r="G1067" s="279"/>
      <c r="H1067" s="279"/>
      <c r="I1067" s="279"/>
      <c r="J1067" s="314"/>
      <c r="K1067" s="57"/>
      <c r="L1067" s="172"/>
      <c r="M1067" s="57"/>
      <c r="N1067" s="314"/>
      <c r="O1067" s="57"/>
      <c r="P1067" s="172"/>
      <c r="Q1067" s="57"/>
      <c r="R1067" s="172"/>
      <c r="S1067" s="172"/>
      <c r="U1067" s="292"/>
      <c r="W1067" s="36"/>
      <c r="X1067" s="174"/>
      <c r="Y1067" s="99"/>
      <c r="Z1067" s="5"/>
      <c r="AA1067" s="99"/>
      <c r="AB1067" s="57"/>
      <c r="AC1067" s="99"/>
      <c r="AD1067" s="99"/>
      <c r="AE1067" s="99"/>
      <c r="AF1067" s="173"/>
      <c r="AG1067" s="102"/>
      <c r="AH1067" s="172"/>
      <c r="AI1067" s="102"/>
      <c r="AJ1067" s="57"/>
      <c r="AK1067" s="102"/>
      <c r="AL1067" s="57"/>
      <c r="AM1067" s="102"/>
      <c r="AN1067" s="296"/>
      <c r="AO1067" s="295"/>
    </row>
    <row r="1068" spans="2:41" s="151" customFormat="1" ht="13.5" customHeight="1" x14ac:dyDescent="0.15">
      <c r="B1068" s="5"/>
      <c r="C1068" s="36"/>
      <c r="D1068" s="36"/>
      <c r="E1068" s="279"/>
      <c r="F1068" s="279"/>
      <c r="G1068" s="279"/>
      <c r="H1068" s="279"/>
      <c r="I1068" s="279"/>
      <c r="J1068" s="314"/>
      <c r="K1068" s="5"/>
      <c r="L1068" s="173"/>
      <c r="M1068" s="99"/>
      <c r="N1068" s="314"/>
      <c r="O1068" s="5"/>
      <c r="P1068" s="173"/>
      <c r="Q1068" s="99"/>
      <c r="R1068" s="173"/>
      <c r="S1068" s="173"/>
      <c r="U1068" s="292"/>
      <c r="W1068" s="36"/>
      <c r="X1068" s="174"/>
      <c r="Y1068" s="57"/>
      <c r="Z1068" s="172"/>
      <c r="AA1068" s="57"/>
      <c r="AB1068" s="57"/>
      <c r="AC1068" s="57"/>
      <c r="AD1068" s="57"/>
      <c r="AE1068" s="57"/>
      <c r="AF1068" s="173"/>
      <c r="AG1068" s="102"/>
      <c r="AH1068" s="172"/>
      <c r="AI1068" s="102"/>
      <c r="AJ1068" s="57"/>
      <c r="AK1068" s="102"/>
      <c r="AL1068" s="57"/>
      <c r="AM1068" s="102"/>
      <c r="AN1068" s="296"/>
      <c r="AO1068" s="295"/>
    </row>
    <row r="1069" spans="2:41" s="151" customFormat="1" x14ac:dyDescent="0.15">
      <c r="B1069" s="5"/>
      <c r="C1069" s="36"/>
      <c r="D1069" s="36"/>
      <c r="E1069" s="279"/>
      <c r="F1069" s="279"/>
      <c r="G1069" s="279"/>
      <c r="H1069" s="279"/>
      <c r="I1069" s="279"/>
      <c r="J1069" s="314"/>
      <c r="K1069" s="57"/>
      <c r="L1069" s="172"/>
      <c r="M1069" s="57"/>
      <c r="N1069" s="314"/>
      <c r="O1069" s="57"/>
      <c r="P1069" s="172"/>
      <c r="Q1069" s="57"/>
      <c r="R1069" s="172"/>
      <c r="S1069" s="172"/>
      <c r="U1069" s="292"/>
      <c r="W1069" s="36"/>
      <c r="X1069" s="174"/>
      <c r="Y1069" s="99"/>
      <c r="Z1069" s="5"/>
      <c r="AA1069" s="99"/>
      <c r="AB1069" s="57"/>
      <c r="AC1069" s="99"/>
      <c r="AD1069" s="99"/>
      <c r="AE1069" s="99"/>
      <c r="AF1069" s="173"/>
      <c r="AG1069" s="102"/>
      <c r="AH1069" s="172"/>
      <c r="AI1069" s="102"/>
      <c r="AJ1069" s="57"/>
      <c r="AK1069" s="102"/>
      <c r="AL1069" s="57"/>
      <c r="AM1069" s="102"/>
      <c r="AN1069" s="296"/>
      <c r="AO1069" s="295"/>
    </row>
    <row r="1070" spans="2:41" s="151" customFormat="1" ht="14.25" customHeight="1" x14ac:dyDescent="0.15">
      <c r="B1070" s="5"/>
      <c r="C1070" s="36"/>
      <c r="D1070" s="36"/>
      <c r="E1070" s="279"/>
      <c r="F1070" s="279"/>
      <c r="G1070" s="279"/>
      <c r="H1070" s="279"/>
      <c r="I1070" s="279"/>
      <c r="J1070" s="314"/>
      <c r="K1070" s="5"/>
      <c r="L1070" s="173"/>
      <c r="M1070" s="99"/>
      <c r="N1070" s="314"/>
      <c r="O1070" s="5"/>
      <c r="P1070" s="173"/>
      <c r="Q1070" s="99"/>
      <c r="R1070" s="173"/>
      <c r="S1070" s="173"/>
      <c r="U1070" s="292"/>
      <c r="W1070" s="36"/>
      <c r="X1070" s="174"/>
      <c r="Y1070" s="57"/>
      <c r="Z1070" s="172"/>
      <c r="AA1070" s="57"/>
      <c r="AB1070" s="57"/>
      <c r="AC1070" s="57"/>
      <c r="AD1070" s="57"/>
      <c r="AE1070" s="57"/>
      <c r="AF1070" s="173"/>
      <c r="AG1070" s="102"/>
      <c r="AH1070" s="172"/>
      <c r="AI1070" s="102"/>
      <c r="AJ1070" s="57"/>
      <c r="AK1070" s="102"/>
      <c r="AL1070" s="57"/>
      <c r="AM1070" s="102"/>
      <c r="AN1070" s="296"/>
      <c r="AO1070" s="295"/>
    </row>
    <row r="1071" spans="2:41" s="151" customFormat="1" x14ac:dyDescent="0.15">
      <c r="B1071" s="5"/>
      <c r="C1071" s="36"/>
      <c r="D1071" s="36"/>
      <c r="E1071" s="279"/>
      <c r="F1071" s="279"/>
      <c r="G1071" s="279"/>
      <c r="H1071" s="279"/>
      <c r="I1071" s="279"/>
      <c r="J1071" s="314"/>
      <c r="K1071" s="57"/>
      <c r="L1071" s="172"/>
      <c r="M1071" s="57"/>
      <c r="N1071" s="314"/>
      <c r="O1071" s="57"/>
      <c r="P1071" s="172"/>
      <c r="Q1071" s="57"/>
      <c r="R1071" s="172"/>
      <c r="S1071" s="172"/>
      <c r="U1071" s="292"/>
      <c r="AN1071" s="280"/>
    </row>
    <row r="1072" spans="2:41" s="151" customFormat="1" ht="13.5" customHeight="1" x14ac:dyDescent="0.15">
      <c r="B1072" s="5"/>
      <c r="C1072" s="36"/>
      <c r="D1072" s="36"/>
      <c r="E1072" s="279"/>
      <c r="F1072" s="279"/>
      <c r="G1072" s="279"/>
      <c r="H1072" s="279"/>
      <c r="I1072" s="279"/>
      <c r="J1072" s="314"/>
      <c r="K1072" s="5"/>
      <c r="L1072" s="173"/>
      <c r="M1072" s="99"/>
      <c r="N1072" s="314"/>
      <c r="O1072" s="5"/>
      <c r="P1072" s="173"/>
      <c r="Q1072" s="99"/>
      <c r="R1072" s="173"/>
      <c r="S1072" s="173"/>
      <c r="U1072" s="292"/>
      <c r="AN1072" s="280"/>
    </row>
    <row r="1073" spans="2:41" s="151" customFormat="1" x14ac:dyDescent="0.15">
      <c r="B1073" s="5"/>
      <c r="C1073" s="36"/>
      <c r="D1073" s="36"/>
      <c r="E1073" s="279"/>
      <c r="F1073" s="279"/>
      <c r="G1073" s="279"/>
      <c r="H1073" s="279"/>
      <c r="I1073" s="279"/>
      <c r="J1073" s="314"/>
      <c r="K1073" s="57"/>
      <c r="L1073" s="172"/>
      <c r="M1073" s="57"/>
      <c r="N1073" s="314"/>
      <c r="O1073" s="57"/>
      <c r="P1073" s="172"/>
      <c r="Q1073" s="57"/>
      <c r="R1073" s="172"/>
      <c r="S1073" s="172"/>
      <c r="U1073" s="292"/>
      <c r="W1073" s="291"/>
      <c r="X1073" s="5"/>
      <c r="Y1073" s="5"/>
      <c r="Z1073" s="5"/>
      <c r="AA1073" s="5"/>
      <c r="AB1073" s="5"/>
      <c r="AC1073" s="284"/>
      <c r="AD1073" s="5"/>
      <c r="AE1073" s="5"/>
      <c r="AF1073" s="5"/>
      <c r="AG1073" s="5"/>
      <c r="AH1073" s="5"/>
      <c r="AI1073" s="5"/>
      <c r="AJ1073" s="5"/>
      <c r="AK1073" s="5"/>
      <c r="AL1073" s="5"/>
      <c r="AM1073" s="5"/>
      <c r="AN1073" s="108"/>
    </row>
    <row r="1074" spans="2:41" s="151" customFormat="1" ht="13.5" customHeight="1" x14ac:dyDescent="0.15">
      <c r="B1074" s="5"/>
      <c r="C1074" s="36"/>
      <c r="D1074" s="36"/>
      <c r="E1074" s="279"/>
      <c r="F1074" s="279"/>
      <c r="G1074" s="279"/>
      <c r="H1074" s="279"/>
      <c r="I1074" s="279"/>
      <c r="J1074" s="314"/>
      <c r="K1074" s="5"/>
      <c r="L1074" s="173"/>
      <c r="M1074" s="99"/>
      <c r="N1074" s="314"/>
      <c r="O1074" s="5"/>
      <c r="P1074" s="173"/>
      <c r="Q1074" s="99"/>
      <c r="R1074" s="173"/>
      <c r="S1074" s="173"/>
      <c r="U1074" s="292"/>
      <c r="W1074" s="5"/>
      <c r="X1074" s="173"/>
      <c r="Y1074" s="36"/>
      <c r="Z1074" s="36"/>
      <c r="AA1074" s="36"/>
      <c r="AB1074" s="36"/>
      <c r="AC1074" s="36"/>
      <c r="AD1074" s="36"/>
      <c r="AE1074" s="36"/>
      <c r="AF1074" s="173"/>
      <c r="AG1074" s="36"/>
      <c r="AH1074" s="36"/>
      <c r="AI1074" s="36"/>
      <c r="AJ1074" s="36"/>
      <c r="AK1074" s="36"/>
      <c r="AL1074" s="36"/>
      <c r="AM1074" s="36"/>
      <c r="AN1074" s="294"/>
      <c r="AO1074" s="294"/>
    </row>
    <row r="1075" spans="2:41" s="151" customFormat="1" x14ac:dyDescent="0.15">
      <c r="B1075" s="5"/>
      <c r="C1075" s="36"/>
      <c r="D1075" s="36"/>
      <c r="E1075" s="279"/>
      <c r="F1075" s="279"/>
      <c r="G1075" s="279"/>
      <c r="H1075" s="279"/>
      <c r="I1075" s="279"/>
      <c r="J1075" s="314"/>
      <c r="K1075" s="57"/>
      <c r="L1075" s="172"/>
      <c r="M1075" s="57"/>
      <c r="N1075" s="314"/>
      <c r="O1075" s="57"/>
      <c r="P1075" s="172"/>
      <c r="Q1075" s="57"/>
      <c r="R1075" s="172"/>
      <c r="S1075" s="172"/>
      <c r="U1075" s="292"/>
      <c r="W1075" s="5"/>
      <c r="X1075" s="173"/>
      <c r="Y1075" s="173"/>
      <c r="Z1075" s="102"/>
      <c r="AA1075" s="102"/>
      <c r="AB1075" s="293"/>
      <c r="AC1075" s="293"/>
      <c r="AD1075" s="102"/>
      <c r="AE1075" s="102"/>
      <c r="AF1075" s="173"/>
      <c r="AG1075" s="173"/>
      <c r="AH1075" s="102"/>
      <c r="AI1075" s="102"/>
      <c r="AJ1075" s="293"/>
      <c r="AK1075" s="293"/>
      <c r="AL1075" s="102"/>
      <c r="AM1075" s="102"/>
      <c r="AN1075" s="294"/>
      <c r="AO1075" s="294"/>
    </row>
    <row r="1076" spans="2:41" s="151" customFormat="1" ht="13.5" customHeight="1" x14ac:dyDescent="0.15">
      <c r="B1076" s="5"/>
      <c r="C1076" s="36"/>
      <c r="D1076" s="36"/>
      <c r="E1076" s="279"/>
      <c r="F1076" s="279"/>
      <c r="G1076" s="279"/>
      <c r="H1076" s="279"/>
      <c r="I1076" s="279"/>
      <c r="J1076" s="314"/>
      <c r="K1076" s="5"/>
      <c r="L1076" s="171"/>
      <c r="M1076" s="99"/>
      <c r="N1076" s="314"/>
      <c r="O1076" s="5"/>
      <c r="P1076" s="171"/>
      <c r="Q1076" s="99"/>
      <c r="R1076" s="173"/>
      <c r="S1076" s="173"/>
      <c r="U1076" s="292"/>
      <c r="W1076" s="285"/>
      <c r="X1076" s="173"/>
      <c r="Y1076" s="99"/>
      <c r="Z1076" s="173"/>
      <c r="AA1076" s="99"/>
      <c r="AB1076" s="110"/>
      <c r="AC1076" s="99"/>
      <c r="AD1076" s="99"/>
      <c r="AE1076" s="99"/>
      <c r="AF1076" s="173"/>
      <c r="AG1076" s="295"/>
      <c r="AH1076" s="173"/>
      <c r="AI1076" s="295"/>
      <c r="AJ1076" s="110"/>
      <c r="AK1076" s="295"/>
      <c r="AL1076" s="99"/>
      <c r="AM1076" s="295"/>
      <c r="AN1076" s="111"/>
      <c r="AO1076" s="294"/>
    </row>
    <row r="1077" spans="2:41" s="151" customFormat="1" x14ac:dyDescent="0.15">
      <c r="B1077" s="5"/>
      <c r="C1077" s="36"/>
      <c r="D1077" s="36"/>
      <c r="E1077" s="279"/>
      <c r="F1077" s="279"/>
      <c r="G1077" s="279"/>
      <c r="H1077" s="279"/>
      <c r="I1077" s="279"/>
      <c r="J1077" s="314"/>
      <c r="K1077" s="57"/>
      <c r="L1077" s="172"/>
      <c r="M1077" s="57"/>
      <c r="N1077" s="314"/>
      <c r="O1077" s="57"/>
      <c r="P1077" s="172"/>
      <c r="Q1077" s="57"/>
      <c r="R1077" s="172"/>
      <c r="S1077" s="172"/>
      <c r="U1077" s="292"/>
      <c r="W1077" s="285"/>
      <c r="X1077" s="173"/>
      <c r="Y1077" s="57"/>
      <c r="Z1077" s="172"/>
      <c r="AA1077" s="57"/>
      <c r="AB1077" s="57"/>
      <c r="AC1077" s="57"/>
      <c r="AD1077" s="57"/>
      <c r="AE1077" s="57"/>
      <c r="AF1077" s="173"/>
      <c r="AG1077" s="295"/>
      <c r="AH1077" s="172"/>
      <c r="AI1077" s="295"/>
      <c r="AJ1077" s="57"/>
      <c r="AK1077" s="295"/>
      <c r="AL1077" s="57"/>
      <c r="AM1077" s="295"/>
      <c r="AN1077" s="111"/>
      <c r="AO1077" s="294"/>
    </row>
    <row r="1078" spans="2:41" s="151" customFormat="1" ht="13.5" customHeight="1" x14ac:dyDescent="0.15">
      <c r="B1078" s="5"/>
      <c r="C1078" s="36"/>
      <c r="D1078" s="36"/>
      <c r="E1078" s="279"/>
      <c r="F1078" s="279"/>
      <c r="G1078" s="279"/>
      <c r="H1078" s="279"/>
      <c r="I1078" s="279"/>
      <c r="J1078" s="314"/>
      <c r="K1078" s="5"/>
      <c r="L1078" s="173"/>
      <c r="M1078" s="99"/>
      <c r="N1078" s="314"/>
      <c r="O1078" s="5"/>
      <c r="P1078" s="173"/>
      <c r="Q1078" s="99"/>
      <c r="R1078" s="173"/>
      <c r="S1078" s="173"/>
      <c r="U1078" s="292"/>
      <c r="W1078" s="285"/>
      <c r="X1078" s="173"/>
      <c r="Y1078" s="99"/>
      <c r="Z1078" s="173"/>
      <c r="AA1078" s="99"/>
      <c r="AB1078" s="110"/>
      <c r="AC1078" s="99"/>
      <c r="AD1078" s="99"/>
      <c r="AE1078" s="99"/>
      <c r="AF1078" s="173"/>
      <c r="AG1078" s="99"/>
      <c r="AH1078" s="173"/>
      <c r="AI1078" s="99"/>
      <c r="AJ1078" s="110"/>
      <c r="AK1078" s="99"/>
      <c r="AL1078" s="99"/>
      <c r="AM1078" s="99"/>
      <c r="AN1078" s="111"/>
      <c r="AO1078" s="99"/>
    </row>
    <row r="1079" spans="2:41" s="151" customFormat="1" x14ac:dyDescent="0.15">
      <c r="B1079" s="5"/>
      <c r="C1079" s="36"/>
      <c r="D1079" s="36"/>
      <c r="E1079" s="279"/>
      <c r="F1079" s="279"/>
      <c r="G1079" s="279"/>
      <c r="H1079" s="279"/>
      <c r="I1079" s="279"/>
      <c r="J1079" s="314"/>
      <c r="K1079" s="57"/>
      <c r="L1079" s="172"/>
      <c r="M1079" s="57"/>
      <c r="N1079" s="314"/>
      <c r="O1079" s="57"/>
      <c r="P1079" s="172"/>
      <c r="Q1079" s="57"/>
      <c r="R1079" s="172"/>
      <c r="S1079" s="172"/>
      <c r="U1079" s="292"/>
      <c r="W1079" s="285"/>
      <c r="X1079" s="173"/>
      <c r="Y1079" s="57"/>
      <c r="Z1079" s="172"/>
      <c r="AA1079" s="57"/>
      <c r="AB1079" s="57"/>
      <c r="AC1079" s="57"/>
      <c r="AD1079" s="57"/>
      <c r="AE1079" s="57"/>
      <c r="AF1079" s="173"/>
      <c r="AG1079" s="57"/>
      <c r="AH1079" s="172"/>
      <c r="AI1079" s="57"/>
      <c r="AJ1079" s="57"/>
      <c r="AK1079" s="57"/>
      <c r="AL1079" s="57"/>
      <c r="AM1079" s="57"/>
      <c r="AN1079" s="109"/>
      <c r="AO1079" s="57"/>
    </row>
    <row r="1080" spans="2:41" s="151" customFormat="1" ht="13.5" customHeight="1" x14ac:dyDescent="0.15">
      <c r="B1080" s="5"/>
      <c r="C1080" s="36"/>
      <c r="D1080" s="36"/>
      <c r="E1080" s="279"/>
      <c r="F1080" s="279"/>
      <c r="G1080" s="279"/>
      <c r="H1080" s="279"/>
      <c r="I1080" s="279"/>
      <c r="J1080" s="314"/>
      <c r="K1080" s="5"/>
      <c r="L1080" s="173"/>
      <c r="M1080" s="99"/>
      <c r="N1080" s="314"/>
      <c r="O1080" s="5"/>
      <c r="P1080" s="173"/>
      <c r="Q1080" s="99"/>
      <c r="R1080" s="173"/>
      <c r="S1080" s="173"/>
      <c r="U1080" s="292"/>
      <c r="W1080" s="36"/>
      <c r="X1080" s="173"/>
      <c r="Y1080" s="99"/>
      <c r="Z1080" s="173"/>
      <c r="AA1080" s="99"/>
      <c r="AB1080" s="110"/>
      <c r="AC1080" s="99"/>
      <c r="AD1080" s="99"/>
      <c r="AE1080" s="99"/>
      <c r="AF1080" s="173"/>
      <c r="AG1080" s="99"/>
      <c r="AH1080" s="173"/>
      <c r="AI1080" s="99"/>
      <c r="AJ1080" s="110"/>
      <c r="AK1080" s="99"/>
      <c r="AL1080" s="99"/>
      <c r="AM1080" s="99"/>
      <c r="AN1080" s="111"/>
      <c r="AO1080" s="99"/>
    </row>
    <row r="1081" spans="2:41" s="151" customFormat="1" x14ac:dyDescent="0.15">
      <c r="B1081" s="5"/>
      <c r="C1081" s="36"/>
      <c r="D1081" s="36"/>
      <c r="E1081" s="279"/>
      <c r="F1081" s="279"/>
      <c r="G1081" s="279"/>
      <c r="H1081" s="279"/>
      <c r="I1081" s="279"/>
      <c r="J1081" s="314"/>
      <c r="K1081" s="57"/>
      <c r="L1081" s="172"/>
      <c r="M1081" s="57"/>
      <c r="N1081" s="314"/>
      <c r="O1081" s="57"/>
      <c r="P1081" s="172"/>
      <c r="Q1081" s="57"/>
      <c r="R1081" s="172"/>
      <c r="S1081" s="172"/>
      <c r="U1081" s="292"/>
      <c r="W1081" s="36"/>
      <c r="X1081" s="173"/>
      <c r="Y1081" s="57"/>
      <c r="Z1081" s="172"/>
      <c r="AA1081" s="57"/>
      <c r="AB1081" s="57"/>
      <c r="AC1081" s="57"/>
      <c r="AD1081" s="57"/>
      <c r="AE1081" s="57"/>
      <c r="AF1081" s="173"/>
      <c r="AG1081" s="57"/>
      <c r="AH1081" s="172"/>
      <c r="AI1081" s="57"/>
      <c r="AJ1081" s="57"/>
      <c r="AK1081" s="57"/>
      <c r="AL1081" s="57"/>
      <c r="AM1081" s="57"/>
      <c r="AN1081" s="109"/>
      <c r="AO1081" s="57"/>
    </row>
    <row r="1082" spans="2:41" s="151" customFormat="1" ht="13.5" customHeight="1" x14ac:dyDescent="0.15">
      <c r="B1082" s="5"/>
      <c r="C1082" s="36"/>
      <c r="D1082" s="36"/>
      <c r="E1082" s="279"/>
      <c r="F1082" s="279"/>
      <c r="G1082" s="279"/>
      <c r="H1082" s="279"/>
      <c r="I1082" s="279"/>
      <c r="J1082" s="314"/>
      <c r="K1082" s="5"/>
      <c r="L1082" s="173"/>
      <c r="M1082" s="99"/>
      <c r="N1082" s="314"/>
      <c r="O1082" s="5"/>
      <c r="P1082" s="173"/>
      <c r="Q1082" s="99"/>
      <c r="R1082" s="173"/>
      <c r="S1082" s="173"/>
      <c r="U1082" s="292"/>
      <c r="W1082" s="175"/>
      <c r="X1082" s="173"/>
      <c r="Y1082" s="99"/>
      <c r="Z1082" s="173"/>
      <c r="AA1082" s="99"/>
      <c r="AB1082" s="110"/>
      <c r="AC1082" s="99"/>
      <c r="AD1082" s="99"/>
      <c r="AE1082" s="99"/>
      <c r="AF1082" s="173"/>
      <c r="AG1082" s="99"/>
      <c r="AH1082" s="173"/>
      <c r="AI1082" s="99"/>
      <c r="AJ1082" s="110"/>
      <c r="AK1082" s="99"/>
      <c r="AL1082" s="99"/>
      <c r="AM1082" s="99"/>
      <c r="AN1082" s="111"/>
      <c r="AO1082" s="99"/>
    </row>
    <row r="1083" spans="2:41" s="151" customFormat="1" x14ac:dyDescent="0.15">
      <c r="B1083" s="5"/>
      <c r="C1083" s="36"/>
      <c r="D1083" s="36"/>
      <c r="E1083" s="279"/>
      <c r="F1083" s="279"/>
      <c r="G1083" s="279"/>
      <c r="H1083" s="279"/>
      <c r="I1083" s="279"/>
      <c r="J1083" s="314"/>
      <c r="K1083" s="57"/>
      <c r="L1083" s="172"/>
      <c r="M1083" s="57"/>
      <c r="N1083" s="314"/>
      <c r="O1083" s="57"/>
      <c r="P1083" s="172"/>
      <c r="Q1083" s="57"/>
      <c r="R1083" s="172"/>
      <c r="S1083" s="172"/>
      <c r="U1083" s="292"/>
      <c r="W1083" s="175"/>
      <c r="X1083" s="173"/>
      <c r="Y1083" s="57"/>
      <c r="Z1083" s="172"/>
      <c r="AA1083" s="57"/>
      <c r="AB1083" s="57"/>
      <c r="AC1083" s="57"/>
      <c r="AD1083" s="57"/>
      <c r="AE1083" s="57"/>
      <c r="AF1083" s="173"/>
      <c r="AG1083" s="57"/>
      <c r="AH1083" s="172"/>
      <c r="AI1083" s="57"/>
      <c r="AJ1083" s="57"/>
      <c r="AK1083" s="57"/>
      <c r="AL1083" s="57"/>
      <c r="AM1083" s="57"/>
      <c r="AN1083" s="109"/>
      <c r="AO1083" s="57"/>
    </row>
    <row r="1084" spans="2:41" s="151" customFormat="1" ht="13.5" customHeight="1" x14ac:dyDescent="0.15">
      <c r="B1084" s="5"/>
      <c r="C1084" s="36"/>
      <c r="D1084" s="36"/>
      <c r="E1084" s="279"/>
      <c r="F1084" s="279"/>
      <c r="G1084" s="279"/>
      <c r="H1084" s="279"/>
      <c r="I1084" s="279"/>
      <c r="J1084" s="314"/>
      <c r="K1084" s="5"/>
      <c r="L1084" s="173"/>
      <c r="M1084" s="99"/>
      <c r="N1084" s="314"/>
      <c r="O1084" s="5"/>
      <c r="P1084" s="173"/>
      <c r="Q1084" s="99"/>
      <c r="R1084" s="173"/>
      <c r="S1084" s="173"/>
      <c r="U1084" s="292"/>
      <c r="W1084" s="285"/>
      <c r="X1084" s="173"/>
      <c r="Y1084" s="99"/>
      <c r="Z1084" s="57"/>
      <c r="AA1084" s="99"/>
      <c r="AB1084" s="110"/>
      <c r="AC1084" s="99"/>
      <c r="AD1084" s="99"/>
      <c r="AE1084" s="99"/>
      <c r="AF1084" s="173"/>
      <c r="AG1084" s="99"/>
      <c r="AH1084" s="57"/>
      <c r="AI1084" s="99"/>
      <c r="AJ1084" s="110"/>
      <c r="AK1084" s="99"/>
      <c r="AL1084" s="99"/>
      <c r="AM1084" s="99"/>
      <c r="AN1084" s="111"/>
      <c r="AO1084" s="99"/>
    </row>
    <row r="1085" spans="2:41" s="151" customFormat="1" x14ac:dyDescent="0.15">
      <c r="B1085" s="5"/>
      <c r="C1085" s="36"/>
      <c r="D1085" s="36"/>
      <c r="E1085" s="279"/>
      <c r="F1085" s="279"/>
      <c r="G1085" s="279"/>
      <c r="H1085" s="279"/>
      <c r="I1085" s="279"/>
      <c r="J1085" s="314"/>
      <c r="K1085" s="57"/>
      <c r="L1085" s="172"/>
      <c r="M1085" s="57"/>
      <c r="N1085" s="314"/>
      <c r="O1085" s="57"/>
      <c r="P1085" s="172"/>
      <c r="Q1085" s="57"/>
      <c r="R1085" s="172"/>
      <c r="S1085" s="172"/>
      <c r="U1085" s="292"/>
      <c r="W1085" s="285"/>
      <c r="X1085" s="173"/>
      <c r="Y1085" s="57"/>
      <c r="Z1085" s="172"/>
      <c r="AA1085" s="57"/>
      <c r="AB1085" s="57"/>
      <c r="AC1085" s="57"/>
      <c r="AD1085" s="57"/>
      <c r="AE1085" s="57"/>
      <c r="AF1085" s="173"/>
      <c r="AG1085" s="57"/>
      <c r="AH1085" s="172"/>
      <c r="AI1085" s="57"/>
      <c r="AJ1085" s="57"/>
      <c r="AK1085" s="57"/>
      <c r="AL1085" s="57"/>
      <c r="AM1085" s="57"/>
      <c r="AN1085" s="109"/>
      <c r="AO1085" s="57"/>
    </row>
    <row r="1086" spans="2:41" s="151" customFormat="1" x14ac:dyDescent="0.15">
      <c r="B1086" s="5"/>
      <c r="C1086" s="5"/>
      <c r="D1086" s="117"/>
      <c r="E1086" s="117"/>
      <c r="F1086" s="117"/>
      <c r="G1086" s="117"/>
      <c r="H1086" s="117"/>
      <c r="I1086" s="117"/>
      <c r="J1086" s="113"/>
      <c r="K1086" s="99"/>
      <c r="L1086" s="99"/>
      <c r="M1086" s="99"/>
      <c r="N1086" s="298"/>
      <c r="O1086" s="140"/>
      <c r="P1086" s="140"/>
      <c r="Q1086" s="140"/>
      <c r="R1086" s="140"/>
      <c r="S1086" s="140"/>
      <c r="U1086" s="292"/>
      <c r="W1086" s="175"/>
      <c r="X1086" s="174"/>
      <c r="Y1086" s="99"/>
      <c r="Z1086" s="5"/>
      <c r="AA1086" s="99"/>
      <c r="AB1086" s="57"/>
      <c r="AC1086" s="99"/>
      <c r="AD1086" s="99"/>
      <c r="AE1086" s="99"/>
      <c r="AF1086" s="174"/>
      <c r="AG1086" s="99"/>
      <c r="AH1086" s="5"/>
      <c r="AI1086" s="99"/>
      <c r="AJ1086" s="57"/>
      <c r="AK1086" s="99"/>
      <c r="AL1086" s="99"/>
      <c r="AM1086" s="99"/>
      <c r="AN1086" s="111"/>
      <c r="AO1086" s="99"/>
    </row>
    <row r="1087" spans="2:41" s="151" customFormat="1" x14ac:dyDescent="0.15">
      <c r="B1087" s="5"/>
      <c r="C1087" s="5"/>
      <c r="D1087" s="117"/>
      <c r="E1087" s="117"/>
      <c r="F1087" s="117"/>
      <c r="G1087" s="117"/>
      <c r="H1087" s="117"/>
      <c r="I1087" s="117"/>
      <c r="J1087" s="162"/>
      <c r="K1087" s="99"/>
      <c r="L1087" s="99"/>
      <c r="M1087" s="99"/>
      <c r="N1087" s="315"/>
      <c r="O1087" s="140"/>
      <c r="P1087" s="140"/>
      <c r="Q1087" s="140"/>
      <c r="R1087" s="140"/>
      <c r="S1087" s="140"/>
      <c r="U1087" s="292"/>
      <c r="W1087" s="175"/>
      <c r="X1087" s="174"/>
      <c r="Y1087" s="57"/>
      <c r="Z1087" s="172"/>
      <c r="AA1087" s="57"/>
      <c r="AB1087" s="57"/>
      <c r="AC1087" s="57"/>
      <c r="AD1087" s="57"/>
      <c r="AE1087" s="57"/>
      <c r="AF1087" s="174"/>
      <c r="AG1087" s="57"/>
      <c r="AH1087" s="172"/>
      <c r="AI1087" s="57"/>
      <c r="AJ1087" s="57"/>
      <c r="AK1087" s="57"/>
      <c r="AL1087" s="57"/>
      <c r="AM1087" s="57"/>
      <c r="AN1087" s="109"/>
      <c r="AO1087" s="57"/>
    </row>
    <row r="1088" spans="2:41" s="151" customFormat="1" x14ac:dyDescent="0.15">
      <c r="B1088" s="5"/>
      <c r="C1088" s="5"/>
      <c r="D1088" s="316"/>
      <c r="E1088" s="5"/>
      <c r="F1088" s="5"/>
      <c r="G1088" s="5"/>
      <c r="H1088" s="5"/>
      <c r="I1088" s="5"/>
      <c r="J1088" s="5"/>
      <c r="K1088" s="311"/>
      <c r="L1088" s="110"/>
      <c r="M1088" s="311"/>
      <c r="N1088" s="308"/>
      <c r="O1088" s="312"/>
      <c r="P1088" s="313"/>
      <c r="Q1088" s="312"/>
      <c r="R1088" s="313"/>
      <c r="S1088" s="313"/>
      <c r="U1088" s="292"/>
      <c r="W1088" s="285"/>
      <c r="X1088" s="174"/>
      <c r="Y1088" s="99"/>
      <c r="Z1088" s="5"/>
      <c r="AA1088" s="99"/>
      <c r="AB1088" s="57"/>
      <c r="AC1088" s="99"/>
      <c r="AD1088" s="99"/>
      <c r="AE1088" s="99"/>
      <c r="AF1088" s="174"/>
      <c r="AG1088" s="99"/>
      <c r="AH1088" s="5"/>
      <c r="AI1088" s="99"/>
      <c r="AJ1088" s="57"/>
      <c r="AK1088" s="99"/>
      <c r="AL1088" s="99"/>
      <c r="AM1088" s="99"/>
      <c r="AN1088" s="111"/>
      <c r="AO1088" s="295"/>
    </row>
    <row r="1089" spans="2:41" s="151" customFormat="1" x14ac:dyDescent="0.15">
      <c r="B1089" s="5"/>
      <c r="C1089" s="5"/>
      <c r="D1089" s="307"/>
      <c r="E1089" s="307"/>
      <c r="F1089" s="173"/>
      <c r="G1089" s="173"/>
      <c r="H1089" s="173"/>
      <c r="I1089" s="173"/>
      <c r="J1089" s="5"/>
      <c r="K1089" s="311"/>
      <c r="L1089" s="110"/>
      <c r="M1089" s="311"/>
      <c r="N1089" s="304"/>
      <c r="O1089" s="317"/>
      <c r="P1089" s="318"/>
      <c r="Q1089" s="317"/>
      <c r="R1089" s="318"/>
      <c r="S1089" s="318"/>
      <c r="U1089" s="292"/>
      <c r="W1089" s="285"/>
      <c r="X1089" s="174"/>
      <c r="Y1089" s="57"/>
      <c r="Z1089" s="172"/>
      <c r="AA1089" s="57"/>
      <c r="AB1089" s="57"/>
      <c r="AC1089" s="57"/>
      <c r="AD1089" s="57"/>
      <c r="AE1089" s="57"/>
      <c r="AF1089" s="174"/>
      <c r="AG1089" s="57"/>
      <c r="AH1089" s="172"/>
      <c r="AI1089" s="57"/>
      <c r="AJ1089" s="57"/>
      <c r="AK1089" s="57"/>
      <c r="AL1089" s="57"/>
      <c r="AM1089" s="57"/>
      <c r="AN1089" s="109"/>
      <c r="AO1089" s="295"/>
    </row>
    <row r="1090" spans="2:41" s="151" customFormat="1" x14ac:dyDescent="0.15">
      <c r="B1090" s="5"/>
      <c r="C1090" s="5"/>
      <c r="D1090" s="119"/>
      <c r="E1090" s="174"/>
      <c r="F1090" s="173"/>
      <c r="G1090" s="173"/>
      <c r="H1090" s="173"/>
      <c r="I1090" s="173"/>
      <c r="J1090" s="5"/>
      <c r="K1090" s="311"/>
      <c r="L1090" s="110"/>
      <c r="M1090" s="311"/>
      <c r="N1090" s="304"/>
      <c r="O1090" s="317"/>
      <c r="P1090" s="318"/>
      <c r="Q1090" s="317"/>
      <c r="R1090" s="318"/>
      <c r="S1090" s="318"/>
      <c r="U1090" s="292"/>
      <c r="W1090" s="36"/>
      <c r="X1090" s="174"/>
      <c r="Y1090" s="99"/>
      <c r="Z1090" s="5"/>
      <c r="AA1090" s="99"/>
      <c r="AB1090" s="57"/>
      <c r="AC1090" s="99"/>
      <c r="AD1090" s="99"/>
      <c r="AE1090" s="99"/>
      <c r="AF1090" s="174"/>
      <c r="AG1090" s="99"/>
      <c r="AH1090" s="5"/>
      <c r="AI1090" s="99"/>
      <c r="AJ1090" s="57"/>
      <c r="AK1090" s="99"/>
      <c r="AL1090" s="99"/>
      <c r="AM1090" s="99"/>
      <c r="AN1090" s="111"/>
      <c r="AO1090" s="295"/>
    </row>
    <row r="1091" spans="2:41" s="151" customFormat="1" x14ac:dyDescent="0.15">
      <c r="B1091" s="5"/>
      <c r="C1091" s="5"/>
      <c r="D1091" s="119"/>
      <c r="E1091" s="174"/>
      <c r="F1091" s="173"/>
      <c r="G1091" s="173"/>
      <c r="H1091" s="173"/>
      <c r="I1091" s="173"/>
      <c r="J1091" s="5"/>
      <c r="K1091" s="311"/>
      <c r="L1091" s="110"/>
      <c r="M1091" s="311"/>
      <c r="N1091" s="304"/>
      <c r="O1091" s="317"/>
      <c r="P1091" s="318"/>
      <c r="Q1091" s="317"/>
      <c r="R1091" s="318"/>
      <c r="S1091" s="318"/>
      <c r="U1091" s="292"/>
      <c r="W1091" s="36"/>
      <c r="X1091" s="174"/>
      <c r="Y1091" s="57"/>
      <c r="Z1091" s="172"/>
      <c r="AA1091" s="57"/>
      <c r="AB1091" s="57"/>
      <c r="AC1091" s="57"/>
      <c r="AD1091" s="57"/>
      <c r="AE1091" s="57"/>
      <c r="AF1091" s="174"/>
      <c r="AG1091" s="57"/>
      <c r="AH1091" s="172"/>
      <c r="AI1091" s="57"/>
      <c r="AJ1091" s="57"/>
      <c r="AK1091" s="57"/>
      <c r="AL1091" s="57"/>
      <c r="AM1091" s="57"/>
      <c r="AN1091" s="109"/>
      <c r="AO1091" s="295"/>
    </row>
    <row r="1092" spans="2:41" s="151" customFormat="1" x14ac:dyDescent="0.15">
      <c r="B1092" s="5"/>
      <c r="C1092" s="5"/>
      <c r="D1092" s="119"/>
      <c r="E1092" s="174"/>
      <c r="F1092" s="173"/>
      <c r="G1092" s="173"/>
      <c r="H1092" s="173"/>
      <c r="I1092" s="173"/>
      <c r="J1092" s="5"/>
      <c r="K1092" s="311"/>
      <c r="L1092" s="110"/>
      <c r="M1092" s="311"/>
      <c r="N1092" s="304"/>
      <c r="O1092" s="317"/>
      <c r="P1092" s="318"/>
      <c r="Q1092" s="317"/>
      <c r="R1092" s="318"/>
      <c r="S1092" s="318"/>
      <c r="U1092" s="292"/>
      <c r="AN1092" s="280"/>
    </row>
    <row r="1093" spans="2:41" s="151" customFormat="1" x14ac:dyDescent="0.15">
      <c r="B1093" s="5"/>
      <c r="C1093" s="5"/>
      <c r="D1093" s="119"/>
      <c r="E1093" s="174"/>
      <c r="F1093" s="173"/>
      <c r="G1093" s="173"/>
      <c r="H1093" s="173"/>
      <c r="I1093" s="173"/>
      <c r="J1093" s="5"/>
      <c r="K1093" s="311"/>
      <c r="L1093" s="110"/>
      <c r="M1093" s="311"/>
      <c r="N1093" s="304"/>
      <c r="O1093" s="317"/>
      <c r="P1093" s="318"/>
      <c r="Q1093" s="317"/>
      <c r="R1093" s="318"/>
      <c r="S1093" s="318"/>
      <c r="U1093" s="292"/>
      <c r="AN1093" s="280"/>
    </row>
    <row r="1094" spans="2:41" s="151" customFormat="1" x14ac:dyDescent="0.15"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U1094" s="292"/>
      <c r="W1094" s="291"/>
      <c r="X1094" s="5"/>
      <c r="Y1094" s="5"/>
      <c r="Z1094" s="5"/>
      <c r="AA1094" s="5"/>
      <c r="AB1094" s="5"/>
      <c r="AC1094" s="284"/>
      <c r="AD1094" s="5"/>
      <c r="AE1094" s="5"/>
      <c r="AN1094" s="280"/>
    </row>
    <row r="1095" spans="2:41" s="151" customFormat="1" x14ac:dyDescent="0.15"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U1095" s="292"/>
      <c r="W1095" s="5"/>
      <c r="X1095" s="173"/>
      <c r="Y1095" s="36"/>
      <c r="Z1095" s="36"/>
      <c r="AA1095" s="36"/>
      <c r="AB1095" s="36"/>
      <c r="AC1095" s="36"/>
      <c r="AD1095" s="36"/>
      <c r="AE1095" s="36"/>
      <c r="AN1095" s="280"/>
    </row>
    <row r="1096" spans="2:41" s="151" customFormat="1" x14ac:dyDescent="0.15">
      <c r="B1096" s="5"/>
      <c r="C1096" s="5"/>
      <c r="D1096" s="36"/>
      <c r="E1096" s="36"/>
      <c r="F1096" s="36"/>
      <c r="G1096" s="36"/>
      <c r="H1096" s="36"/>
      <c r="I1096" s="36"/>
      <c r="J1096" s="36"/>
      <c r="K1096" s="36"/>
      <c r="L1096" s="36"/>
      <c r="M1096" s="36"/>
      <c r="N1096" s="36"/>
      <c r="O1096" s="36"/>
      <c r="P1096" s="36"/>
      <c r="Q1096" s="36"/>
      <c r="R1096" s="36"/>
      <c r="S1096" s="173"/>
      <c r="U1096" s="292"/>
      <c r="W1096" s="5"/>
      <c r="X1096" s="173"/>
      <c r="Y1096" s="173"/>
      <c r="Z1096" s="102"/>
      <c r="AA1096" s="102"/>
      <c r="AB1096" s="293"/>
      <c r="AC1096" s="293"/>
      <c r="AD1096" s="102"/>
      <c r="AE1096" s="102"/>
      <c r="AN1096" s="280"/>
    </row>
    <row r="1097" spans="2:41" s="151" customFormat="1" x14ac:dyDescent="0.15">
      <c r="B1097" s="5"/>
      <c r="C1097" s="5"/>
      <c r="D1097" s="36"/>
      <c r="E1097" s="36"/>
      <c r="F1097" s="36"/>
      <c r="G1097" s="36"/>
      <c r="H1097" s="36"/>
      <c r="I1097" s="36"/>
      <c r="J1097" s="174"/>
      <c r="K1097" s="173"/>
      <c r="L1097" s="102"/>
      <c r="M1097" s="102"/>
      <c r="N1097" s="174"/>
      <c r="O1097" s="173"/>
      <c r="P1097" s="102"/>
      <c r="Q1097" s="102"/>
      <c r="R1097" s="172"/>
      <c r="S1097" s="172"/>
      <c r="U1097" s="292"/>
      <c r="W1097" s="285"/>
      <c r="X1097" s="173"/>
      <c r="Y1097" s="99"/>
      <c r="Z1097" s="173"/>
      <c r="AA1097" s="99"/>
      <c r="AB1097" s="110"/>
      <c r="AC1097" s="99"/>
      <c r="AD1097" s="99"/>
      <c r="AE1097" s="99"/>
      <c r="AN1097" s="280"/>
    </row>
    <row r="1098" spans="2:41" s="151" customFormat="1" ht="13.5" customHeight="1" x14ac:dyDescent="0.15">
      <c r="B1098" s="5"/>
      <c r="C1098" s="5"/>
      <c r="D1098" s="36"/>
      <c r="E1098" s="279"/>
      <c r="F1098" s="279"/>
      <c r="G1098" s="279"/>
      <c r="H1098" s="279"/>
      <c r="I1098" s="279"/>
      <c r="J1098" s="314"/>
      <c r="K1098" s="110"/>
      <c r="L1098" s="110"/>
      <c r="M1098" s="110"/>
      <c r="N1098" s="314"/>
      <c r="O1098" s="110"/>
      <c r="P1098" s="110"/>
      <c r="Q1098" s="110"/>
      <c r="R1098" s="110"/>
      <c r="S1098" s="110"/>
      <c r="U1098" s="292"/>
      <c r="W1098" s="285"/>
      <c r="X1098" s="173"/>
      <c r="Y1098" s="57"/>
      <c r="Z1098" s="172"/>
      <c r="AA1098" s="57"/>
      <c r="AB1098" s="57"/>
      <c r="AC1098" s="57"/>
      <c r="AD1098" s="57"/>
      <c r="AE1098" s="57"/>
      <c r="AN1098" s="280"/>
    </row>
    <row r="1099" spans="2:41" s="151" customFormat="1" x14ac:dyDescent="0.15">
      <c r="B1099" s="5"/>
      <c r="C1099" s="5"/>
      <c r="D1099" s="36"/>
      <c r="E1099" s="279"/>
      <c r="F1099" s="279"/>
      <c r="G1099" s="279"/>
      <c r="H1099" s="279"/>
      <c r="I1099" s="279"/>
      <c r="J1099" s="314"/>
      <c r="K1099" s="57"/>
      <c r="L1099" s="57"/>
      <c r="M1099" s="57"/>
      <c r="N1099" s="314"/>
      <c r="O1099" s="57"/>
      <c r="P1099" s="57"/>
      <c r="Q1099" s="57"/>
      <c r="R1099" s="57"/>
      <c r="S1099" s="57"/>
      <c r="U1099" s="292"/>
      <c r="W1099" s="285"/>
      <c r="X1099" s="173"/>
      <c r="Y1099" s="99"/>
      <c r="Z1099" s="173"/>
      <c r="AA1099" s="99"/>
      <c r="AB1099" s="110"/>
      <c r="AC1099" s="99"/>
      <c r="AD1099" s="99"/>
      <c r="AE1099" s="99"/>
      <c r="AN1099" s="280"/>
    </row>
    <row r="1100" spans="2:41" s="151" customFormat="1" ht="13.5" customHeight="1" x14ac:dyDescent="0.15">
      <c r="B1100" s="5"/>
      <c r="C1100" s="5"/>
      <c r="D1100" s="36"/>
      <c r="E1100" s="279"/>
      <c r="F1100" s="279"/>
      <c r="G1100" s="279"/>
      <c r="H1100" s="279"/>
      <c r="I1100" s="279"/>
      <c r="J1100" s="314"/>
      <c r="K1100" s="110"/>
      <c r="L1100" s="110"/>
      <c r="M1100" s="110"/>
      <c r="N1100" s="314"/>
      <c r="O1100" s="110"/>
      <c r="P1100" s="110"/>
      <c r="Q1100" s="110"/>
      <c r="R1100" s="110"/>
      <c r="S1100" s="110"/>
      <c r="U1100" s="292"/>
      <c r="W1100" s="285"/>
      <c r="X1100" s="173"/>
      <c r="Y1100" s="57"/>
      <c r="Z1100" s="172"/>
      <c r="AA1100" s="57"/>
      <c r="AB1100" s="57"/>
      <c r="AC1100" s="57"/>
      <c r="AD1100" s="57"/>
      <c r="AE1100" s="57"/>
      <c r="AN1100" s="280"/>
    </row>
    <row r="1101" spans="2:41" s="151" customFormat="1" x14ac:dyDescent="0.15">
      <c r="B1101" s="5"/>
      <c r="C1101" s="5"/>
      <c r="D1101" s="36"/>
      <c r="E1101" s="279"/>
      <c r="F1101" s="279"/>
      <c r="G1101" s="279"/>
      <c r="H1101" s="279"/>
      <c r="I1101" s="279"/>
      <c r="J1101" s="314"/>
      <c r="K1101" s="57"/>
      <c r="L1101" s="57"/>
      <c r="M1101" s="57"/>
      <c r="N1101" s="314"/>
      <c r="O1101" s="57"/>
      <c r="P1101" s="57"/>
      <c r="Q1101" s="57"/>
      <c r="R1101" s="57"/>
      <c r="S1101" s="57"/>
      <c r="U1101" s="292"/>
      <c r="W1101" s="36"/>
      <c r="X1101" s="173"/>
      <c r="Y1101" s="99"/>
      <c r="Z1101" s="173"/>
      <c r="AA1101" s="99"/>
      <c r="AB1101" s="110"/>
      <c r="AC1101" s="99"/>
      <c r="AD1101" s="99"/>
      <c r="AE1101" s="99"/>
      <c r="AN1101" s="280"/>
    </row>
    <row r="1102" spans="2:41" s="151" customFormat="1" ht="13.5" customHeight="1" x14ac:dyDescent="0.15">
      <c r="B1102" s="5"/>
      <c r="C1102" s="5"/>
      <c r="D1102" s="36"/>
      <c r="E1102" s="279"/>
      <c r="F1102" s="279"/>
      <c r="G1102" s="279"/>
      <c r="H1102" s="279"/>
      <c r="I1102" s="279"/>
      <c r="J1102" s="314"/>
      <c r="K1102" s="110"/>
      <c r="L1102" s="110"/>
      <c r="M1102" s="110"/>
      <c r="N1102" s="314"/>
      <c r="O1102" s="110"/>
      <c r="P1102" s="110"/>
      <c r="Q1102" s="110"/>
      <c r="R1102" s="110"/>
      <c r="S1102" s="110"/>
      <c r="U1102" s="292"/>
      <c r="W1102" s="36"/>
      <c r="X1102" s="173"/>
      <c r="Y1102" s="57"/>
      <c r="Z1102" s="172"/>
      <c r="AA1102" s="57"/>
      <c r="AB1102" s="57"/>
      <c r="AC1102" s="57"/>
      <c r="AD1102" s="57"/>
      <c r="AE1102" s="57"/>
      <c r="AN1102" s="280"/>
    </row>
    <row r="1103" spans="2:41" s="151" customFormat="1" x14ac:dyDescent="0.15">
      <c r="B1103" s="5"/>
      <c r="C1103" s="5"/>
      <c r="D1103" s="36"/>
      <c r="E1103" s="279"/>
      <c r="F1103" s="279"/>
      <c r="G1103" s="279"/>
      <c r="H1103" s="279"/>
      <c r="I1103" s="279"/>
      <c r="J1103" s="314"/>
      <c r="K1103" s="57"/>
      <c r="L1103" s="57"/>
      <c r="M1103" s="57"/>
      <c r="N1103" s="314"/>
      <c r="O1103" s="57"/>
      <c r="P1103" s="57"/>
      <c r="Q1103" s="57"/>
      <c r="R1103" s="57"/>
      <c r="S1103" s="57"/>
      <c r="U1103" s="292"/>
      <c r="W1103" s="175"/>
      <c r="X1103" s="173"/>
      <c r="Y1103" s="99"/>
      <c r="Z1103" s="173"/>
      <c r="AA1103" s="99"/>
      <c r="AB1103" s="110"/>
      <c r="AC1103" s="99"/>
      <c r="AD1103" s="99"/>
      <c r="AE1103" s="99"/>
      <c r="AN1103" s="280"/>
    </row>
    <row r="1104" spans="2:41" s="151" customFormat="1" ht="13.5" customHeight="1" x14ac:dyDescent="0.15">
      <c r="B1104" s="5"/>
      <c r="C1104" s="5"/>
      <c r="D1104" s="36"/>
      <c r="E1104" s="279"/>
      <c r="F1104" s="279"/>
      <c r="G1104" s="279"/>
      <c r="H1104" s="279"/>
      <c r="I1104" s="279"/>
      <c r="J1104" s="314"/>
      <c r="K1104" s="110"/>
      <c r="L1104" s="110"/>
      <c r="M1104" s="110"/>
      <c r="N1104" s="314"/>
      <c r="O1104" s="110"/>
      <c r="P1104" s="110"/>
      <c r="Q1104" s="110"/>
      <c r="R1104" s="110"/>
      <c r="S1104" s="110"/>
      <c r="U1104" s="292"/>
      <c r="W1104" s="175"/>
      <c r="X1104" s="173"/>
      <c r="Y1104" s="57"/>
      <c r="Z1104" s="172"/>
      <c r="AA1104" s="57"/>
      <c r="AB1104" s="57"/>
      <c r="AC1104" s="57"/>
      <c r="AD1104" s="57"/>
      <c r="AE1104" s="57"/>
      <c r="AN1104" s="280"/>
    </row>
    <row r="1105" spans="2:40" s="151" customFormat="1" x14ac:dyDescent="0.15">
      <c r="B1105" s="5"/>
      <c r="C1105" s="5"/>
      <c r="D1105" s="36"/>
      <c r="E1105" s="279"/>
      <c r="F1105" s="279"/>
      <c r="G1105" s="279"/>
      <c r="H1105" s="279"/>
      <c r="I1105" s="279"/>
      <c r="J1105" s="314"/>
      <c r="K1105" s="57"/>
      <c r="L1105" s="57"/>
      <c r="M1105" s="57"/>
      <c r="N1105" s="314"/>
      <c r="O1105" s="57"/>
      <c r="P1105" s="57"/>
      <c r="Q1105" s="57"/>
      <c r="R1105" s="57"/>
      <c r="S1105" s="57"/>
      <c r="U1105" s="292"/>
      <c r="W1105" s="285"/>
      <c r="X1105" s="173"/>
      <c r="Y1105" s="99"/>
      <c r="Z1105" s="57"/>
      <c r="AA1105" s="99"/>
      <c r="AB1105" s="110"/>
      <c r="AC1105" s="99"/>
      <c r="AD1105" s="99"/>
      <c r="AE1105" s="99"/>
      <c r="AN1105" s="280"/>
    </row>
    <row r="1106" spans="2:40" s="151" customFormat="1" x14ac:dyDescent="0.15">
      <c r="B1106" s="5"/>
      <c r="C1106" s="5"/>
      <c r="D1106" s="36"/>
      <c r="E1106" s="279"/>
      <c r="F1106" s="279"/>
      <c r="G1106" s="279"/>
      <c r="H1106" s="279"/>
      <c r="I1106" s="279"/>
      <c r="J1106" s="314"/>
      <c r="K1106" s="110"/>
      <c r="L1106" s="110"/>
      <c r="M1106" s="110"/>
      <c r="N1106" s="314"/>
      <c r="O1106" s="110"/>
      <c r="P1106" s="110"/>
      <c r="Q1106" s="110"/>
      <c r="R1106" s="110"/>
      <c r="S1106" s="110"/>
      <c r="U1106" s="292"/>
      <c r="W1106" s="285"/>
      <c r="X1106" s="173"/>
      <c r="Y1106" s="57"/>
      <c r="Z1106" s="172"/>
      <c r="AA1106" s="57"/>
      <c r="AB1106" s="57"/>
      <c r="AC1106" s="57"/>
      <c r="AD1106" s="57"/>
      <c r="AE1106" s="57"/>
      <c r="AN1106" s="280"/>
    </row>
    <row r="1107" spans="2:40" s="151" customFormat="1" x14ac:dyDescent="0.15">
      <c r="B1107" s="5"/>
      <c r="C1107" s="5"/>
      <c r="D1107" s="36"/>
      <c r="E1107" s="279"/>
      <c r="F1107" s="279"/>
      <c r="G1107" s="279"/>
      <c r="H1107" s="279"/>
      <c r="I1107" s="279"/>
      <c r="J1107" s="314"/>
      <c r="K1107" s="57"/>
      <c r="L1107" s="57"/>
      <c r="M1107" s="57"/>
      <c r="N1107" s="314"/>
      <c r="O1107" s="57"/>
      <c r="P1107" s="57"/>
      <c r="Q1107" s="57"/>
      <c r="R1107" s="57"/>
      <c r="S1107" s="57"/>
      <c r="U1107" s="292"/>
      <c r="W1107" s="285"/>
      <c r="X1107" s="174"/>
      <c r="Y1107" s="99"/>
      <c r="Z1107" s="5"/>
      <c r="AA1107" s="99"/>
      <c r="AB1107" s="57"/>
      <c r="AC1107" s="99"/>
      <c r="AD1107" s="99"/>
      <c r="AE1107" s="99"/>
      <c r="AN1107" s="280"/>
    </row>
    <row r="1108" spans="2:40" s="151" customFormat="1" x14ac:dyDescent="0.15">
      <c r="B1108" s="5"/>
      <c r="C1108" s="5"/>
      <c r="D1108" s="36"/>
      <c r="E1108" s="279"/>
      <c r="F1108" s="279"/>
      <c r="G1108" s="279"/>
      <c r="H1108" s="279"/>
      <c r="I1108" s="279"/>
      <c r="J1108" s="314"/>
      <c r="K1108" s="110"/>
      <c r="L1108" s="110"/>
      <c r="M1108" s="110"/>
      <c r="N1108" s="314"/>
      <c r="O1108" s="110"/>
      <c r="P1108" s="110"/>
      <c r="Q1108" s="110"/>
      <c r="R1108" s="110"/>
      <c r="S1108" s="110"/>
      <c r="U1108" s="292"/>
      <c r="W1108" s="285"/>
      <c r="X1108" s="174"/>
      <c r="Y1108" s="57"/>
      <c r="Z1108" s="172"/>
      <c r="AA1108" s="57"/>
      <c r="AB1108" s="57"/>
      <c r="AC1108" s="57"/>
      <c r="AD1108" s="57"/>
      <c r="AE1108" s="57"/>
      <c r="AN1108" s="280"/>
    </row>
    <row r="1109" spans="2:40" s="151" customFormat="1" x14ac:dyDescent="0.15">
      <c r="B1109" s="5"/>
      <c r="C1109" s="5"/>
      <c r="D1109" s="36"/>
      <c r="E1109" s="279"/>
      <c r="F1109" s="279"/>
      <c r="G1109" s="279"/>
      <c r="H1109" s="279"/>
      <c r="I1109" s="279"/>
      <c r="J1109" s="314"/>
      <c r="K1109" s="57"/>
      <c r="L1109" s="57"/>
      <c r="M1109" s="57"/>
      <c r="N1109" s="314"/>
      <c r="O1109" s="57"/>
      <c r="P1109" s="57"/>
      <c r="Q1109" s="57"/>
      <c r="R1109" s="57"/>
      <c r="S1109" s="57"/>
      <c r="U1109" s="292"/>
      <c r="W1109" s="36"/>
      <c r="X1109" s="174"/>
      <c r="Y1109" s="99"/>
      <c r="Z1109" s="5"/>
      <c r="AA1109" s="99"/>
      <c r="AB1109" s="57"/>
      <c r="AC1109" s="99"/>
      <c r="AD1109" s="99"/>
      <c r="AE1109" s="99"/>
      <c r="AN1109" s="280"/>
    </row>
    <row r="1110" spans="2:40" s="151" customFormat="1" x14ac:dyDescent="0.15">
      <c r="B1110" s="5"/>
      <c r="C1110" s="5"/>
      <c r="D1110" s="36"/>
      <c r="E1110" s="279"/>
      <c r="F1110" s="279"/>
      <c r="G1110" s="279"/>
      <c r="H1110" s="279"/>
      <c r="I1110" s="279"/>
      <c r="J1110" s="314"/>
      <c r="K1110" s="110"/>
      <c r="L1110" s="110"/>
      <c r="M1110" s="110"/>
      <c r="N1110" s="314"/>
      <c r="O1110" s="110"/>
      <c r="P1110" s="110"/>
      <c r="Q1110" s="110"/>
      <c r="R1110" s="110"/>
      <c r="S1110" s="110"/>
      <c r="U1110" s="292"/>
      <c r="W1110" s="36"/>
      <c r="X1110" s="174"/>
      <c r="Y1110" s="57"/>
      <c r="Z1110" s="172"/>
      <c r="AA1110" s="57"/>
      <c r="AB1110" s="57"/>
      <c r="AC1110" s="57"/>
      <c r="AD1110" s="57"/>
      <c r="AE1110" s="57"/>
      <c r="AN1110" s="280"/>
    </row>
    <row r="1111" spans="2:40" s="151" customFormat="1" x14ac:dyDescent="0.15">
      <c r="B1111" s="5"/>
      <c r="C1111" s="5"/>
      <c r="D1111" s="36"/>
      <c r="E1111" s="279"/>
      <c r="F1111" s="279"/>
      <c r="G1111" s="279"/>
      <c r="H1111" s="279"/>
      <c r="I1111" s="279"/>
      <c r="J1111" s="314"/>
      <c r="K1111" s="57"/>
      <c r="L1111" s="57"/>
      <c r="M1111" s="57"/>
      <c r="N1111" s="314"/>
      <c r="O1111" s="57"/>
      <c r="P1111" s="57"/>
      <c r="Q1111" s="57"/>
      <c r="R1111" s="57"/>
      <c r="S1111" s="57"/>
      <c r="U1111" s="292"/>
      <c r="AN1111" s="280"/>
    </row>
    <row r="1112" spans="2:40" s="151" customFormat="1" ht="13.5" customHeight="1" x14ac:dyDescent="0.15">
      <c r="B1112" s="5"/>
      <c r="C1112" s="5"/>
      <c r="D1112" s="36"/>
      <c r="E1112" s="279"/>
      <c r="F1112" s="279"/>
      <c r="G1112" s="279"/>
      <c r="H1112" s="279"/>
      <c r="I1112" s="279"/>
      <c r="J1112" s="314"/>
      <c r="K1112" s="110"/>
      <c r="L1112" s="110"/>
      <c r="M1112" s="110"/>
      <c r="N1112" s="314"/>
      <c r="O1112" s="110"/>
      <c r="P1112" s="110"/>
      <c r="Q1112" s="110"/>
      <c r="R1112" s="110"/>
      <c r="S1112" s="110"/>
      <c r="U1112" s="292"/>
      <c r="AN1112" s="280"/>
    </row>
    <row r="1113" spans="2:40" s="151" customFormat="1" x14ac:dyDescent="0.15">
      <c r="B1113" s="5"/>
      <c r="C1113" s="5"/>
      <c r="D1113" s="36"/>
      <c r="E1113" s="279"/>
      <c r="F1113" s="279"/>
      <c r="G1113" s="279"/>
      <c r="H1113" s="279"/>
      <c r="I1113" s="279"/>
      <c r="J1113" s="162"/>
      <c r="K1113" s="57"/>
      <c r="L1113" s="57"/>
      <c r="M1113" s="57"/>
      <c r="N1113" s="162"/>
      <c r="O1113" s="57"/>
      <c r="P1113" s="57"/>
      <c r="Q1113" s="57"/>
      <c r="R1113" s="57"/>
      <c r="S1113" s="57"/>
      <c r="U1113" s="292"/>
      <c r="W1113" s="291"/>
      <c r="X1113" s="5"/>
      <c r="Y1113" s="5"/>
      <c r="Z1113" s="5"/>
      <c r="AA1113" s="5"/>
      <c r="AB1113" s="5"/>
      <c r="AC1113" s="284"/>
      <c r="AD1113" s="5"/>
      <c r="AE1113" s="5"/>
      <c r="AN1113" s="280"/>
    </row>
    <row r="1114" spans="2:40" s="151" customFormat="1" x14ac:dyDescent="0.15">
      <c r="B1114" s="5"/>
      <c r="C1114" s="5"/>
      <c r="D1114" s="117"/>
      <c r="E1114" s="117"/>
      <c r="F1114" s="117"/>
      <c r="G1114" s="117"/>
      <c r="H1114" s="117"/>
      <c r="I1114" s="117"/>
      <c r="J1114" s="162"/>
      <c r="K1114" s="319"/>
      <c r="L1114" s="319"/>
      <c r="M1114" s="319"/>
      <c r="N1114" s="315"/>
      <c r="O1114" s="148"/>
      <c r="P1114" s="148"/>
      <c r="Q1114" s="148"/>
      <c r="R1114" s="148"/>
      <c r="S1114" s="148"/>
      <c r="U1114" s="292"/>
      <c r="W1114" s="5"/>
      <c r="X1114" s="173"/>
      <c r="Y1114" s="36"/>
      <c r="Z1114" s="36"/>
      <c r="AA1114" s="36"/>
      <c r="AB1114" s="36"/>
      <c r="AC1114" s="36"/>
      <c r="AD1114" s="36"/>
      <c r="AE1114" s="36"/>
      <c r="AN1114" s="280"/>
    </row>
    <row r="1115" spans="2:40" s="151" customFormat="1" x14ac:dyDescent="0.15">
      <c r="B1115" s="5"/>
      <c r="C1115" s="5"/>
      <c r="D1115" s="117"/>
      <c r="E1115" s="117"/>
      <c r="F1115" s="117"/>
      <c r="G1115" s="117"/>
      <c r="H1115" s="117"/>
      <c r="I1115" s="117"/>
      <c r="J1115" s="5"/>
      <c r="K1115" s="320"/>
      <c r="L1115" s="320"/>
      <c r="M1115" s="320"/>
      <c r="N1115" s="316"/>
      <c r="O1115" s="149"/>
      <c r="P1115" s="149"/>
      <c r="Q1115" s="149"/>
      <c r="R1115" s="149"/>
      <c r="S1115" s="149"/>
      <c r="U1115" s="292"/>
      <c r="W1115" s="5"/>
      <c r="X1115" s="173"/>
      <c r="Y1115" s="173"/>
      <c r="Z1115" s="102"/>
      <c r="AA1115" s="102"/>
      <c r="AB1115" s="293"/>
      <c r="AC1115" s="293"/>
      <c r="AD1115" s="102"/>
      <c r="AE1115" s="102"/>
      <c r="AN1115" s="280"/>
    </row>
    <row r="1116" spans="2:40" s="151" customFormat="1" x14ac:dyDescent="0.15">
      <c r="B1116" s="5"/>
      <c r="C1116" s="5"/>
      <c r="D1116" s="316"/>
      <c r="E1116" s="5"/>
      <c r="F1116" s="5"/>
      <c r="G1116" s="5"/>
      <c r="H1116" s="5"/>
      <c r="I1116" s="5"/>
      <c r="J1116" s="5"/>
      <c r="K1116" s="311"/>
      <c r="L1116" s="110"/>
      <c r="M1116" s="311"/>
      <c r="N1116" s="316"/>
      <c r="O1116" s="312"/>
      <c r="P1116" s="313"/>
      <c r="Q1116" s="312"/>
      <c r="R1116" s="313"/>
      <c r="S1116" s="313"/>
      <c r="U1116" s="292"/>
      <c r="W1116" s="285"/>
      <c r="X1116" s="173"/>
      <c r="Y1116" s="99"/>
      <c r="Z1116" s="173"/>
      <c r="AA1116" s="99"/>
      <c r="AB1116" s="110"/>
      <c r="AC1116" s="99"/>
      <c r="AD1116" s="99"/>
      <c r="AE1116" s="99"/>
      <c r="AN1116" s="280"/>
    </row>
    <row r="1117" spans="2:40" s="151" customFormat="1" x14ac:dyDescent="0.15">
      <c r="B1117" s="5"/>
      <c r="C1117" s="5"/>
      <c r="D1117" s="307"/>
      <c r="E1117" s="307"/>
      <c r="F1117" s="173"/>
      <c r="G1117" s="173"/>
      <c r="H1117" s="173"/>
      <c r="I1117" s="173"/>
      <c r="J1117" s="5"/>
      <c r="K1117" s="311"/>
      <c r="L1117" s="110"/>
      <c r="M1117" s="311"/>
      <c r="N1117" s="304"/>
      <c r="O1117" s="317"/>
      <c r="P1117" s="318"/>
      <c r="Q1117" s="317"/>
      <c r="R1117" s="318"/>
      <c r="S1117" s="318"/>
      <c r="U1117" s="292"/>
      <c r="W1117" s="285"/>
      <c r="X1117" s="173"/>
      <c r="Y1117" s="57"/>
      <c r="Z1117" s="172"/>
      <c r="AA1117" s="57"/>
      <c r="AB1117" s="57"/>
      <c r="AC1117" s="57"/>
      <c r="AD1117" s="57"/>
      <c r="AE1117" s="57"/>
      <c r="AN1117" s="280"/>
    </row>
    <row r="1118" spans="2:40" s="151" customFormat="1" x14ac:dyDescent="0.15">
      <c r="B1118" s="5"/>
      <c r="C1118" s="5"/>
      <c r="D1118" s="119"/>
      <c r="E1118" s="174"/>
      <c r="F1118" s="173"/>
      <c r="G1118" s="173"/>
      <c r="H1118" s="173"/>
      <c r="I1118" s="173"/>
      <c r="J1118" s="5"/>
      <c r="K1118" s="311"/>
      <c r="L1118" s="110"/>
      <c r="M1118" s="311"/>
      <c r="N1118" s="304"/>
      <c r="O1118" s="317"/>
      <c r="P1118" s="318"/>
      <c r="Q1118" s="317"/>
      <c r="R1118" s="318"/>
      <c r="S1118" s="318"/>
      <c r="U1118" s="292"/>
      <c r="W1118" s="285"/>
      <c r="X1118" s="173"/>
      <c r="Y1118" s="99"/>
      <c r="Z1118" s="173"/>
      <c r="AA1118" s="99"/>
      <c r="AB1118" s="110"/>
      <c r="AC1118" s="99"/>
      <c r="AD1118" s="99"/>
      <c r="AE1118" s="99"/>
      <c r="AN1118" s="280"/>
    </row>
    <row r="1119" spans="2:40" s="151" customFormat="1" x14ac:dyDescent="0.15">
      <c r="B1119" s="5"/>
      <c r="C1119" s="5"/>
      <c r="D1119" s="119"/>
      <c r="E1119" s="174"/>
      <c r="F1119" s="173"/>
      <c r="G1119" s="173"/>
      <c r="H1119" s="173"/>
      <c r="I1119" s="173"/>
      <c r="J1119" s="5"/>
      <c r="K1119" s="311"/>
      <c r="L1119" s="110"/>
      <c r="M1119" s="311"/>
      <c r="N1119" s="304"/>
      <c r="O1119" s="317"/>
      <c r="P1119" s="318"/>
      <c r="Q1119" s="317"/>
      <c r="R1119" s="318"/>
      <c r="S1119" s="318"/>
      <c r="U1119" s="292"/>
      <c r="W1119" s="285"/>
      <c r="X1119" s="173"/>
      <c r="Y1119" s="57"/>
      <c r="Z1119" s="172"/>
      <c r="AA1119" s="57"/>
      <c r="AB1119" s="57"/>
      <c r="AC1119" s="57"/>
      <c r="AD1119" s="57"/>
      <c r="AE1119" s="57"/>
      <c r="AN1119" s="280"/>
    </row>
    <row r="1120" spans="2:40" s="151" customFormat="1" x14ac:dyDescent="0.15">
      <c r="B1120" s="5"/>
      <c r="C1120" s="5"/>
      <c r="D1120" s="119"/>
      <c r="E1120" s="174"/>
      <c r="F1120" s="173"/>
      <c r="G1120" s="173"/>
      <c r="H1120" s="173"/>
      <c r="I1120" s="173"/>
      <c r="J1120" s="5"/>
      <c r="K1120" s="311"/>
      <c r="L1120" s="110"/>
      <c r="M1120" s="311"/>
      <c r="N1120" s="304"/>
      <c r="O1120" s="317"/>
      <c r="P1120" s="318"/>
      <c r="Q1120" s="317"/>
      <c r="R1120" s="318"/>
      <c r="S1120" s="318"/>
      <c r="U1120" s="292"/>
      <c r="W1120" s="36"/>
      <c r="X1120" s="173"/>
      <c r="Y1120" s="99"/>
      <c r="Z1120" s="173"/>
      <c r="AA1120" s="99"/>
      <c r="AB1120" s="110"/>
      <c r="AC1120" s="99"/>
      <c r="AD1120" s="99"/>
      <c r="AE1120" s="99"/>
      <c r="AN1120" s="280"/>
    </row>
    <row r="1121" spans="2:40" s="151" customFormat="1" x14ac:dyDescent="0.15"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U1121" s="292"/>
      <c r="W1121" s="36"/>
      <c r="X1121" s="173"/>
      <c r="Y1121" s="57"/>
      <c r="Z1121" s="172"/>
      <c r="AA1121" s="57"/>
      <c r="AB1121" s="57"/>
      <c r="AC1121" s="57"/>
      <c r="AD1121" s="57"/>
      <c r="AE1121" s="57"/>
      <c r="AN1121" s="280"/>
    </row>
    <row r="1122" spans="2:40" s="151" customFormat="1" x14ac:dyDescent="0.15"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U1122" s="292"/>
      <c r="W1122" s="285"/>
      <c r="X1122" s="173"/>
      <c r="Y1122" s="99"/>
      <c r="Z1122" s="173"/>
      <c r="AA1122" s="99"/>
      <c r="AB1122" s="110"/>
      <c r="AC1122" s="99"/>
      <c r="AD1122" s="99"/>
      <c r="AE1122" s="99"/>
      <c r="AN1122" s="280"/>
    </row>
    <row r="1123" spans="2:40" s="151" customFormat="1" x14ac:dyDescent="0.15"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U1123" s="292"/>
      <c r="W1123" s="285"/>
      <c r="X1123" s="173"/>
      <c r="Y1123" s="57"/>
      <c r="Z1123" s="172"/>
      <c r="AA1123" s="57"/>
      <c r="AB1123" s="57"/>
      <c r="AC1123" s="57"/>
      <c r="AD1123" s="57"/>
      <c r="AE1123" s="57"/>
      <c r="AN1123" s="280"/>
    </row>
    <row r="1124" spans="2:40" s="151" customFormat="1" x14ac:dyDescent="0.15"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U1124" s="292"/>
      <c r="W1124" s="285"/>
      <c r="X1124" s="173"/>
      <c r="Y1124" s="99"/>
      <c r="Z1124" s="57"/>
      <c r="AA1124" s="99"/>
      <c r="AB1124" s="110"/>
      <c r="AC1124" s="99"/>
      <c r="AD1124" s="99"/>
      <c r="AE1124" s="99"/>
      <c r="AN1124" s="280"/>
    </row>
    <row r="1125" spans="2:40" s="151" customFormat="1" x14ac:dyDescent="0.15"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U1125" s="292"/>
      <c r="W1125" s="285"/>
      <c r="X1125" s="173"/>
      <c r="Y1125" s="57"/>
      <c r="Z1125" s="172"/>
      <c r="AA1125" s="57"/>
      <c r="AB1125" s="57"/>
      <c r="AC1125" s="57"/>
      <c r="AD1125" s="57"/>
      <c r="AE1125" s="57"/>
      <c r="AN1125" s="280"/>
    </row>
    <row r="1126" spans="2:40" s="151" customFormat="1" x14ac:dyDescent="0.15"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U1126" s="292"/>
      <c r="W1126" s="285"/>
      <c r="X1126" s="173"/>
      <c r="Y1126" s="99"/>
      <c r="Z1126" s="57"/>
      <c r="AA1126" s="99"/>
      <c r="AB1126" s="110"/>
      <c r="AC1126" s="99"/>
      <c r="AD1126" s="99"/>
      <c r="AE1126" s="99"/>
      <c r="AN1126" s="280"/>
    </row>
    <row r="1127" spans="2:40" s="151" customFormat="1" x14ac:dyDescent="0.15"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U1127" s="292"/>
      <c r="W1127" s="285"/>
      <c r="X1127" s="173"/>
      <c r="Y1127" s="57"/>
      <c r="Z1127" s="172"/>
      <c r="AA1127" s="57"/>
      <c r="AB1127" s="57"/>
      <c r="AC1127" s="57"/>
      <c r="AD1127" s="57"/>
      <c r="AE1127" s="57"/>
      <c r="AN1127" s="280"/>
    </row>
    <row r="1128" spans="2:40" s="151" customFormat="1" x14ac:dyDescent="0.15"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U1128" s="292"/>
      <c r="W1128" s="285"/>
      <c r="X1128" s="174"/>
      <c r="Y1128" s="99"/>
      <c r="Z1128" s="5"/>
      <c r="AA1128" s="99"/>
      <c r="AB1128" s="57"/>
      <c r="AC1128" s="99"/>
      <c r="AD1128" s="99"/>
      <c r="AE1128" s="99"/>
      <c r="AN1128" s="280"/>
    </row>
    <row r="1129" spans="2:40" s="151" customFormat="1" x14ac:dyDescent="0.15"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U1129" s="292"/>
      <c r="W1129" s="285"/>
      <c r="X1129" s="174"/>
      <c r="Y1129" s="57"/>
      <c r="Z1129" s="172"/>
      <c r="AA1129" s="57"/>
      <c r="AB1129" s="57"/>
      <c r="AC1129" s="57"/>
      <c r="AD1129" s="57"/>
      <c r="AE1129" s="57"/>
      <c r="AN1129" s="280"/>
    </row>
    <row r="1130" spans="2:40" s="151" customFormat="1" x14ac:dyDescent="0.15"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U1130" s="292"/>
      <c r="W1130" s="36"/>
      <c r="X1130" s="174"/>
      <c r="Y1130" s="99"/>
      <c r="Z1130" s="5"/>
      <c r="AA1130" s="99"/>
      <c r="AB1130" s="57"/>
      <c r="AC1130" s="99"/>
      <c r="AD1130" s="99"/>
      <c r="AE1130" s="99"/>
      <c r="AN1130" s="280"/>
    </row>
    <row r="1131" spans="2:40" s="151" customFormat="1" x14ac:dyDescent="0.15"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U1131" s="292"/>
      <c r="W1131" s="36"/>
      <c r="X1131" s="174"/>
      <c r="Y1131" s="57"/>
      <c r="Z1131" s="172"/>
      <c r="AA1131" s="57"/>
      <c r="AB1131" s="57"/>
      <c r="AC1131" s="57"/>
      <c r="AD1131" s="57"/>
      <c r="AE1131" s="57"/>
      <c r="AN1131" s="280"/>
    </row>
    <row r="1132" spans="2:40" s="151" customFormat="1" x14ac:dyDescent="0.15"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U1132" s="292"/>
      <c r="AN1132" s="280"/>
    </row>
    <row r="1133" spans="2:40" s="151" customFormat="1" x14ac:dyDescent="0.15"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U1133" s="292"/>
      <c r="AN1133" s="280"/>
    </row>
    <row r="1134" spans="2:40" s="151" customFormat="1" x14ac:dyDescent="0.15"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U1134" s="292"/>
      <c r="AN1134" s="280"/>
    </row>
    <row r="1135" spans="2:40" s="151" customFormat="1" x14ac:dyDescent="0.15"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U1135" s="292"/>
      <c r="AN1135" s="280"/>
    </row>
    <row r="1136" spans="2:40" s="151" customFormat="1" x14ac:dyDescent="0.15"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U1136" s="292"/>
      <c r="W1136" s="291"/>
      <c r="X1136" s="5"/>
      <c r="Y1136" s="5"/>
      <c r="Z1136" s="5"/>
      <c r="AA1136" s="5"/>
      <c r="AB1136" s="5"/>
      <c r="AC1136" s="284"/>
      <c r="AD1136" s="5"/>
      <c r="AE1136" s="5"/>
      <c r="AF1136" s="5"/>
      <c r="AG1136" s="5"/>
      <c r="AH1136" s="5"/>
      <c r="AI1136" s="5"/>
      <c r="AJ1136" s="5"/>
      <c r="AK1136" s="5"/>
      <c r="AL1136" s="5"/>
      <c r="AM1136" s="5"/>
      <c r="AN1136" s="280"/>
    </row>
    <row r="1137" spans="2:41" s="151" customFormat="1" x14ac:dyDescent="0.15"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U1137" s="292"/>
      <c r="W1137" s="5"/>
      <c r="X1137" s="173"/>
      <c r="Y1137" s="36"/>
      <c r="Z1137" s="36"/>
      <c r="AA1137" s="36"/>
      <c r="AB1137" s="36"/>
      <c r="AC1137" s="36"/>
      <c r="AD1137" s="36"/>
      <c r="AE1137" s="36"/>
      <c r="AF1137" s="173"/>
      <c r="AG1137" s="36"/>
      <c r="AH1137" s="36"/>
      <c r="AI1137" s="36"/>
      <c r="AJ1137" s="36"/>
      <c r="AK1137" s="36"/>
      <c r="AL1137" s="36"/>
      <c r="AM1137" s="36"/>
      <c r="AN1137" s="294"/>
      <c r="AO1137" s="294"/>
    </row>
    <row r="1138" spans="2:41" s="151" customFormat="1" x14ac:dyDescent="0.15"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U1138" s="292"/>
      <c r="W1138" s="5"/>
      <c r="X1138" s="173"/>
      <c r="Y1138" s="173"/>
      <c r="Z1138" s="102"/>
      <c r="AA1138" s="102"/>
      <c r="AB1138" s="293"/>
      <c r="AC1138" s="293"/>
      <c r="AD1138" s="102"/>
      <c r="AE1138" s="102"/>
      <c r="AF1138" s="173"/>
      <c r="AG1138" s="173"/>
      <c r="AH1138" s="102"/>
      <c r="AI1138" s="102"/>
      <c r="AJ1138" s="293"/>
      <c r="AK1138" s="293"/>
      <c r="AL1138" s="102"/>
      <c r="AM1138" s="102"/>
      <c r="AN1138" s="294"/>
      <c r="AO1138" s="294"/>
    </row>
    <row r="1139" spans="2:41" s="151" customFormat="1" x14ac:dyDescent="0.15"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U1139" s="292"/>
      <c r="W1139" s="285"/>
      <c r="X1139" s="173"/>
      <c r="Y1139" s="99"/>
      <c r="Z1139" s="173"/>
      <c r="AA1139" s="99"/>
      <c r="AB1139" s="110"/>
      <c r="AC1139" s="99"/>
      <c r="AD1139" s="99"/>
      <c r="AE1139" s="99"/>
      <c r="AF1139" s="173"/>
      <c r="AG1139" s="99"/>
      <c r="AH1139" s="173"/>
      <c r="AI1139" s="99"/>
      <c r="AJ1139" s="110"/>
      <c r="AK1139" s="99"/>
      <c r="AL1139" s="110"/>
      <c r="AM1139" s="99"/>
      <c r="AN1139" s="111"/>
      <c r="AO1139" s="294"/>
    </row>
    <row r="1140" spans="2:41" s="151" customFormat="1" x14ac:dyDescent="0.15"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U1140" s="292"/>
      <c r="W1140" s="285"/>
      <c r="X1140" s="173"/>
      <c r="Y1140" s="57"/>
      <c r="Z1140" s="172"/>
      <c r="AA1140" s="57"/>
      <c r="AB1140" s="57"/>
      <c r="AC1140" s="57"/>
      <c r="AD1140" s="57"/>
      <c r="AE1140" s="57"/>
      <c r="AF1140" s="173"/>
      <c r="AG1140" s="57"/>
      <c r="AH1140" s="172"/>
      <c r="AI1140" s="57"/>
      <c r="AJ1140" s="57"/>
      <c r="AK1140" s="57"/>
      <c r="AL1140" s="57"/>
      <c r="AM1140" s="57"/>
      <c r="AN1140" s="111"/>
      <c r="AO1140" s="57"/>
    </row>
    <row r="1141" spans="2:41" s="151" customFormat="1" x14ac:dyDescent="0.15"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U1141" s="292"/>
      <c r="W1141" s="285"/>
      <c r="X1141" s="173"/>
      <c r="Y1141" s="99"/>
      <c r="Z1141" s="173"/>
      <c r="AA1141" s="99"/>
      <c r="AB1141" s="110"/>
      <c r="AC1141" s="99"/>
      <c r="AD1141" s="99"/>
      <c r="AE1141" s="99"/>
      <c r="AF1141" s="173"/>
      <c r="AG1141" s="99"/>
      <c r="AH1141" s="173"/>
      <c r="AI1141" s="99"/>
      <c r="AJ1141" s="110"/>
      <c r="AK1141" s="99"/>
      <c r="AL1141" s="110"/>
      <c r="AM1141" s="99"/>
      <c r="AN1141" s="111"/>
      <c r="AO1141" s="99"/>
    </row>
    <row r="1142" spans="2:41" s="151" customFormat="1" x14ac:dyDescent="0.15"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U1142" s="292"/>
      <c r="W1142" s="285"/>
      <c r="X1142" s="173"/>
      <c r="Y1142" s="57"/>
      <c r="Z1142" s="172"/>
      <c r="AA1142" s="57"/>
      <c r="AB1142" s="57"/>
      <c r="AC1142" s="57"/>
      <c r="AD1142" s="57"/>
      <c r="AE1142" s="57"/>
      <c r="AF1142" s="173"/>
      <c r="AG1142" s="57"/>
      <c r="AH1142" s="172"/>
      <c r="AI1142" s="57"/>
      <c r="AJ1142" s="110"/>
      <c r="AK1142" s="57"/>
      <c r="AL1142" s="110"/>
      <c r="AM1142" s="57"/>
      <c r="AN1142" s="109"/>
      <c r="AO1142" s="57"/>
    </row>
    <row r="1143" spans="2:41" s="151" customFormat="1" x14ac:dyDescent="0.15"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U1143" s="292"/>
      <c r="W1143" s="285"/>
      <c r="X1143" s="173"/>
      <c r="Y1143" s="99"/>
      <c r="Z1143" s="173"/>
      <c r="AA1143" s="99"/>
      <c r="AB1143" s="110"/>
      <c r="AC1143" s="99"/>
      <c r="AD1143" s="99"/>
      <c r="AE1143" s="99"/>
      <c r="AF1143" s="173"/>
      <c r="AG1143" s="99"/>
      <c r="AH1143" s="173"/>
      <c r="AI1143" s="99"/>
      <c r="AJ1143" s="110"/>
      <c r="AK1143" s="99"/>
      <c r="AL1143" s="110"/>
      <c r="AM1143" s="99"/>
      <c r="AN1143" s="111"/>
      <c r="AO1143" s="99"/>
    </row>
    <row r="1144" spans="2:41" s="151" customFormat="1" x14ac:dyDescent="0.15"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U1144" s="292"/>
      <c r="W1144" s="285"/>
      <c r="X1144" s="173"/>
      <c r="Y1144" s="57"/>
      <c r="Z1144" s="172"/>
      <c r="AA1144" s="57"/>
      <c r="AB1144" s="57"/>
      <c r="AC1144" s="57"/>
      <c r="AD1144" s="57"/>
      <c r="AE1144" s="57"/>
      <c r="AF1144" s="173"/>
      <c r="AG1144" s="57"/>
      <c r="AH1144" s="172"/>
      <c r="AI1144" s="57"/>
      <c r="AJ1144" s="110"/>
      <c r="AK1144" s="57"/>
      <c r="AL1144" s="110"/>
      <c r="AM1144" s="57"/>
      <c r="AN1144" s="109"/>
      <c r="AO1144" s="57"/>
    </row>
    <row r="1145" spans="2:41" s="151" customFormat="1" x14ac:dyDescent="0.15"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U1145" s="292"/>
      <c r="W1145" s="285"/>
      <c r="X1145" s="173"/>
      <c r="Y1145" s="99"/>
      <c r="Z1145" s="173"/>
      <c r="AA1145" s="99"/>
      <c r="AB1145" s="110"/>
      <c r="AC1145" s="99"/>
      <c r="AD1145" s="99"/>
      <c r="AE1145" s="99"/>
      <c r="AF1145" s="173"/>
      <c r="AG1145" s="99"/>
      <c r="AH1145" s="173"/>
      <c r="AI1145" s="99"/>
      <c r="AJ1145" s="110"/>
      <c r="AK1145" s="99"/>
      <c r="AL1145" s="110"/>
      <c r="AM1145" s="99"/>
      <c r="AN1145" s="111"/>
      <c r="AO1145" s="99"/>
    </row>
    <row r="1146" spans="2:41" s="151" customFormat="1" x14ac:dyDescent="0.15"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U1146" s="292"/>
      <c r="W1146" s="285"/>
      <c r="X1146" s="173"/>
      <c r="Y1146" s="57"/>
      <c r="Z1146" s="172"/>
      <c r="AA1146" s="57"/>
      <c r="AB1146" s="57"/>
      <c r="AC1146" s="57"/>
      <c r="AD1146" s="57"/>
      <c r="AE1146" s="57"/>
      <c r="AF1146" s="173"/>
      <c r="AG1146" s="57"/>
      <c r="AH1146" s="57"/>
      <c r="AI1146" s="57"/>
      <c r="AJ1146" s="110"/>
      <c r="AK1146" s="57"/>
      <c r="AL1146" s="110"/>
      <c r="AM1146" s="57"/>
      <c r="AN1146" s="109"/>
      <c r="AO1146" s="57"/>
    </row>
    <row r="1147" spans="2:41" s="151" customFormat="1" x14ac:dyDescent="0.15"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U1147" s="292"/>
      <c r="W1147" s="285"/>
      <c r="X1147" s="173"/>
      <c r="Y1147" s="99"/>
      <c r="Z1147" s="57"/>
      <c r="AA1147" s="99"/>
      <c r="AB1147" s="110"/>
      <c r="AC1147" s="99"/>
      <c r="AD1147" s="99"/>
      <c r="AE1147" s="99"/>
      <c r="AF1147" s="173"/>
      <c r="AG1147" s="99"/>
      <c r="AH1147" s="173"/>
      <c r="AI1147" s="99"/>
      <c r="AJ1147" s="110"/>
      <c r="AK1147" s="99"/>
      <c r="AL1147" s="110"/>
      <c r="AM1147" s="99"/>
      <c r="AN1147" s="111"/>
      <c r="AO1147" s="99"/>
    </row>
    <row r="1148" spans="2:41" s="151" customFormat="1" x14ac:dyDescent="0.15"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U1148" s="292"/>
      <c r="W1148" s="285"/>
      <c r="X1148" s="173"/>
      <c r="Y1148" s="57"/>
      <c r="Z1148" s="172"/>
      <c r="AA1148" s="57"/>
      <c r="AB1148" s="57"/>
      <c r="AC1148" s="57"/>
      <c r="AD1148" s="57"/>
      <c r="AE1148" s="57"/>
      <c r="AF1148" s="173"/>
      <c r="AG1148" s="57"/>
      <c r="AH1148" s="57"/>
      <c r="AI1148" s="57"/>
      <c r="AJ1148" s="110"/>
      <c r="AK1148" s="57"/>
      <c r="AL1148" s="110"/>
      <c r="AM1148" s="57"/>
      <c r="AN1148" s="109"/>
      <c r="AO1148" s="57"/>
    </row>
    <row r="1149" spans="2:41" s="151" customFormat="1" x14ac:dyDescent="0.15"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U1149" s="292"/>
      <c r="W1149" s="285"/>
      <c r="X1149" s="173"/>
      <c r="Y1149" s="99"/>
      <c r="Z1149" s="57"/>
      <c r="AA1149" s="99"/>
      <c r="AB1149" s="110"/>
      <c r="AC1149" s="99"/>
      <c r="AD1149" s="99"/>
      <c r="AE1149" s="99"/>
      <c r="AF1149" s="173"/>
      <c r="AG1149" s="99"/>
      <c r="AH1149" s="173"/>
      <c r="AI1149" s="99"/>
      <c r="AJ1149" s="110"/>
      <c r="AK1149" s="99"/>
      <c r="AL1149" s="110"/>
      <c r="AM1149" s="99"/>
      <c r="AN1149" s="111"/>
      <c r="AO1149" s="99"/>
    </row>
    <row r="1150" spans="2:41" s="151" customFormat="1" x14ac:dyDescent="0.15"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U1150" s="292"/>
      <c r="W1150" s="285"/>
      <c r="X1150" s="173"/>
      <c r="Y1150" s="57"/>
      <c r="Z1150" s="172"/>
      <c r="AA1150" s="57"/>
      <c r="AB1150" s="57"/>
      <c r="AC1150" s="57"/>
      <c r="AD1150" s="57"/>
      <c r="AE1150" s="57"/>
      <c r="AF1150" s="173"/>
      <c r="AG1150" s="57"/>
      <c r="AH1150" s="57"/>
      <c r="AI1150" s="57"/>
      <c r="AJ1150" s="110"/>
      <c r="AK1150" s="57"/>
      <c r="AL1150" s="110"/>
      <c r="AM1150" s="57"/>
      <c r="AN1150" s="109"/>
      <c r="AO1150" s="57"/>
    </row>
    <row r="1151" spans="2:41" s="151" customFormat="1" x14ac:dyDescent="0.15"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U1151" s="292"/>
      <c r="W1151" s="285"/>
      <c r="X1151" s="173"/>
      <c r="Y1151" s="99"/>
      <c r="Z1151" s="172"/>
      <c r="AA1151" s="99"/>
      <c r="AB1151" s="57"/>
      <c r="AC1151" s="99"/>
      <c r="AD1151" s="57"/>
      <c r="AE1151" s="99"/>
      <c r="AF1151" s="173"/>
      <c r="AG1151" s="99"/>
      <c r="AH1151" s="173"/>
      <c r="AI1151" s="99"/>
      <c r="AJ1151" s="110"/>
      <c r="AK1151" s="99"/>
      <c r="AL1151" s="110"/>
      <c r="AM1151" s="99"/>
      <c r="AN1151" s="296"/>
      <c r="AO1151" s="99"/>
    </row>
    <row r="1152" spans="2:41" s="151" customFormat="1" x14ac:dyDescent="0.15"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U1152" s="292"/>
      <c r="W1152" s="285"/>
      <c r="X1152" s="173"/>
      <c r="Y1152" s="57"/>
      <c r="Z1152" s="172"/>
      <c r="AA1152" s="57"/>
      <c r="AB1152" s="57"/>
      <c r="AC1152" s="57"/>
      <c r="AD1152" s="57"/>
      <c r="AE1152" s="57"/>
      <c r="AF1152" s="173"/>
      <c r="AG1152" s="57"/>
      <c r="AH1152" s="57"/>
      <c r="AI1152" s="57"/>
      <c r="AJ1152" s="110"/>
      <c r="AK1152" s="57"/>
      <c r="AL1152" s="110"/>
      <c r="AM1152" s="57"/>
      <c r="AN1152" s="296"/>
      <c r="AO1152" s="57"/>
    </row>
    <row r="1153" spans="2:41" s="151" customFormat="1" x14ac:dyDescent="0.15"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U1153" s="292"/>
      <c r="W1153" s="36"/>
      <c r="X1153" s="174"/>
      <c r="Y1153" s="99"/>
      <c r="Z1153" s="5"/>
      <c r="AA1153" s="99"/>
      <c r="AB1153" s="57"/>
      <c r="AC1153" s="99"/>
      <c r="AD1153" s="99"/>
      <c r="AE1153" s="99"/>
      <c r="AF1153" s="173"/>
      <c r="AG1153" s="102"/>
      <c r="AH1153" s="172"/>
      <c r="AI1153" s="102"/>
      <c r="AJ1153" s="57"/>
      <c r="AK1153" s="102"/>
      <c r="AL1153" s="57"/>
      <c r="AM1153" s="102"/>
      <c r="AN1153" s="296"/>
      <c r="AO1153" s="295"/>
    </row>
    <row r="1154" spans="2:41" s="151" customFormat="1" x14ac:dyDescent="0.15"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U1154" s="292"/>
      <c r="W1154" s="36"/>
      <c r="X1154" s="174"/>
      <c r="Y1154" s="57"/>
      <c r="Z1154" s="172"/>
      <c r="AA1154" s="57"/>
      <c r="AB1154" s="57"/>
      <c r="AC1154" s="57"/>
      <c r="AD1154" s="57"/>
      <c r="AE1154" s="57"/>
      <c r="AF1154" s="173"/>
      <c r="AG1154" s="102"/>
      <c r="AH1154" s="172"/>
      <c r="AI1154" s="102"/>
      <c r="AJ1154" s="57"/>
      <c r="AK1154" s="102"/>
      <c r="AL1154" s="57"/>
      <c r="AM1154" s="102"/>
      <c r="AN1154" s="296"/>
      <c r="AO1154" s="295"/>
    </row>
    <row r="1155" spans="2:41" s="151" customFormat="1" x14ac:dyDescent="0.15"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U1155" s="292"/>
      <c r="W1155" s="36"/>
      <c r="X1155" s="174"/>
      <c r="Y1155" s="99"/>
      <c r="Z1155" s="5"/>
      <c r="AA1155" s="99"/>
      <c r="AB1155" s="57"/>
      <c r="AC1155" s="99"/>
      <c r="AD1155" s="99"/>
      <c r="AE1155" s="99"/>
      <c r="AF1155" s="173"/>
      <c r="AG1155" s="102"/>
      <c r="AH1155" s="172"/>
      <c r="AI1155" s="102"/>
      <c r="AJ1155" s="57"/>
      <c r="AK1155" s="102"/>
      <c r="AL1155" s="57"/>
      <c r="AM1155" s="102"/>
      <c r="AN1155" s="296"/>
      <c r="AO1155" s="295"/>
    </row>
    <row r="1156" spans="2:41" s="151" customFormat="1" x14ac:dyDescent="0.15"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U1156" s="292"/>
      <c r="W1156" s="36"/>
      <c r="X1156" s="174"/>
      <c r="Y1156" s="57"/>
      <c r="Z1156" s="172"/>
      <c r="AA1156" s="57"/>
      <c r="AB1156" s="57"/>
      <c r="AC1156" s="57"/>
      <c r="AD1156" s="57"/>
      <c r="AE1156" s="57"/>
      <c r="AF1156" s="173"/>
      <c r="AG1156" s="102"/>
      <c r="AH1156" s="172"/>
      <c r="AI1156" s="102"/>
      <c r="AJ1156" s="57"/>
      <c r="AK1156" s="102"/>
      <c r="AL1156" s="57"/>
      <c r="AM1156" s="102"/>
      <c r="AN1156" s="296"/>
      <c r="AO1156" s="295"/>
    </row>
    <row r="1157" spans="2:41" s="151" customFormat="1" x14ac:dyDescent="0.15"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U1157" s="292"/>
      <c r="AN1157" s="280"/>
    </row>
    <row r="1158" spans="2:41" s="151" customFormat="1" x14ac:dyDescent="0.15"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U1158" s="292"/>
      <c r="AN1158" s="280"/>
    </row>
    <row r="1159" spans="2:41" s="151" customFormat="1" x14ac:dyDescent="0.15"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U1159" s="292"/>
      <c r="AN1159" s="280"/>
    </row>
    <row r="1160" spans="2:41" s="151" customFormat="1" x14ac:dyDescent="0.15"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U1160" s="292"/>
      <c r="AN1160" s="280"/>
    </row>
  </sheetData>
  <mergeCells count="532">
    <mergeCell ref="T135:T136"/>
    <mergeCell ref="J276:J277"/>
    <mergeCell ref="F328:F329"/>
    <mergeCell ref="G328:G329"/>
    <mergeCell ref="H328:H329"/>
    <mergeCell ref="I328:I329"/>
    <mergeCell ref="F243:F244"/>
    <mergeCell ref="G243:G244"/>
    <mergeCell ref="H243:H244"/>
    <mergeCell ref="I243:I244"/>
    <mergeCell ref="D690:G691"/>
    <mergeCell ref="D692:G693"/>
    <mergeCell ref="D694:G695"/>
    <mergeCell ref="D669:E670"/>
    <mergeCell ref="D671:E672"/>
    <mergeCell ref="D653:F654"/>
    <mergeCell ref="D838:G839"/>
    <mergeCell ref="D840:G841"/>
    <mergeCell ref="D850:G851"/>
    <mergeCell ref="D836:G837"/>
    <mergeCell ref="D791:G792"/>
    <mergeCell ref="D793:G794"/>
    <mergeCell ref="H793:H794"/>
    <mergeCell ref="I793:I794"/>
    <mergeCell ref="G104:G105"/>
    <mergeCell ref="H104:H105"/>
    <mergeCell ref="I104:I105"/>
    <mergeCell ref="B969:E970"/>
    <mergeCell ref="J848:J849"/>
    <mergeCell ref="K848:K849"/>
    <mergeCell ref="L848:L849"/>
    <mergeCell ref="M848:M849"/>
    <mergeCell ref="N848:N849"/>
    <mergeCell ref="O848:O849"/>
    <mergeCell ref="D842:G843"/>
    <mergeCell ref="D844:G845"/>
    <mergeCell ref="D846:G847"/>
    <mergeCell ref="D848:G849"/>
    <mergeCell ref="H848:H849"/>
    <mergeCell ref="I848:I849"/>
    <mergeCell ref="J793:J794"/>
    <mergeCell ref="K793:K794"/>
    <mergeCell ref="L793:L794"/>
    <mergeCell ref="M793:M794"/>
    <mergeCell ref="H773:K773"/>
    <mergeCell ref="L773:O773"/>
    <mergeCell ref="D775:G776"/>
    <mergeCell ref="D777:G778"/>
    <mergeCell ref="D795:G796"/>
    <mergeCell ref="H830:K830"/>
    <mergeCell ref="L830:O830"/>
    <mergeCell ref="D832:G833"/>
    <mergeCell ref="D834:G835"/>
    <mergeCell ref="N793:N794"/>
    <mergeCell ref="O793:O794"/>
    <mergeCell ref="D696:G697"/>
    <mergeCell ref="D741:G742"/>
    <mergeCell ref="D743:G744"/>
    <mergeCell ref="D779:G780"/>
    <mergeCell ref="D781:G782"/>
    <mergeCell ref="D783:G784"/>
    <mergeCell ref="D785:G786"/>
    <mergeCell ref="D787:G788"/>
    <mergeCell ref="D789:G790"/>
    <mergeCell ref="D745:G746"/>
    <mergeCell ref="D729:G730"/>
    <mergeCell ref="D731:G732"/>
    <mergeCell ref="D733:G734"/>
    <mergeCell ref="D735:G736"/>
    <mergeCell ref="D737:G738"/>
    <mergeCell ref="D739:G740"/>
    <mergeCell ref="D698:G699"/>
    <mergeCell ref="D700:G701"/>
    <mergeCell ref="H727:K727"/>
    <mergeCell ref="K698:K699"/>
    <mergeCell ref="D684:G685"/>
    <mergeCell ref="D686:G687"/>
    <mergeCell ref="D688:G689"/>
    <mergeCell ref="R696:R697"/>
    <mergeCell ref="S696:S697"/>
    <mergeCell ref="L698:L699"/>
    <mergeCell ref="M698:M699"/>
    <mergeCell ref="N698:N699"/>
    <mergeCell ref="O698:O699"/>
    <mergeCell ref="H678:K678"/>
    <mergeCell ref="L678:O678"/>
    <mergeCell ref="D680:G681"/>
    <mergeCell ref="D682:G683"/>
    <mergeCell ref="P678:S678"/>
    <mergeCell ref="P682:P683"/>
    <mergeCell ref="Q682:Q683"/>
    <mergeCell ref="R682:R683"/>
    <mergeCell ref="S682:S683"/>
    <mergeCell ref="D659:E660"/>
    <mergeCell ref="F659:I659"/>
    <mergeCell ref="D661:E662"/>
    <mergeCell ref="D663:E664"/>
    <mergeCell ref="D665:E666"/>
    <mergeCell ref="D667:E668"/>
    <mergeCell ref="D647:F648"/>
    <mergeCell ref="D649:F650"/>
    <mergeCell ref="D651:F652"/>
    <mergeCell ref="D645:F646"/>
    <mergeCell ref="D639:F640"/>
    <mergeCell ref="D643:F644"/>
    <mergeCell ref="D641:F642"/>
    <mergeCell ref="D627:E628"/>
    <mergeCell ref="G633:J633"/>
    <mergeCell ref="D635:F636"/>
    <mergeCell ref="D637:F638"/>
    <mergeCell ref="F621:I621"/>
    <mergeCell ref="D623:E624"/>
    <mergeCell ref="D625:E626"/>
    <mergeCell ref="D589:E590"/>
    <mergeCell ref="D591:E592"/>
    <mergeCell ref="D593:E594"/>
    <mergeCell ref="D595:E596"/>
    <mergeCell ref="D597:E598"/>
    <mergeCell ref="D579:E580"/>
    <mergeCell ref="D581:E582"/>
    <mergeCell ref="D587:E588"/>
    <mergeCell ref="F587:I587"/>
    <mergeCell ref="A618:G618"/>
    <mergeCell ref="D621:E622"/>
    <mergeCell ref="D565:E566"/>
    <mergeCell ref="D571:E572"/>
    <mergeCell ref="F571:I571"/>
    <mergeCell ref="D573:E574"/>
    <mergeCell ref="D575:E576"/>
    <mergeCell ref="D577:E578"/>
    <mergeCell ref="F555:I555"/>
    <mergeCell ref="D557:E558"/>
    <mergeCell ref="D559:E560"/>
    <mergeCell ref="D561:E562"/>
    <mergeCell ref="D563:E564"/>
    <mergeCell ref="D543:E544"/>
    <mergeCell ref="D545:E546"/>
    <mergeCell ref="D547:E548"/>
    <mergeCell ref="D549:E550"/>
    <mergeCell ref="D555:E556"/>
    <mergeCell ref="D531:E532"/>
    <mergeCell ref="D533:E534"/>
    <mergeCell ref="D539:E540"/>
    <mergeCell ref="F539:I539"/>
    <mergeCell ref="D541:E542"/>
    <mergeCell ref="D517:E518"/>
    <mergeCell ref="D523:E524"/>
    <mergeCell ref="F523:I523"/>
    <mergeCell ref="D525:E526"/>
    <mergeCell ref="D527:E528"/>
    <mergeCell ref="D529:E530"/>
    <mergeCell ref="F507:I507"/>
    <mergeCell ref="D509:E510"/>
    <mergeCell ref="D511:E512"/>
    <mergeCell ref="D513:E514"/>
    <mergeCell ref="D515:E516"/>
    <mergeCell ref="D495:E496"/>
    <mergeCell ref="D497:E498"/>
    <mergeCell ref="D499:E500"/>
    <mergeCell ref="D501:E502"/>
    <mergeCell ref="D507:E508"/>
    <mergeCell ref="D483:E484"/>
    <mergeCell ref="D485:E486"/>
    <mergeCell ref="D491:E492"/>
    <mergeCell ref="F491:I491"/>
    <mergeCell ref="D493:E494"/>
    <mergeCell ref="D468:E469"/>
    <mergeCell ref="D475:E476"/>
    <mergeCell ref="F475:I475"/>
    <mergeCell ref="D477:E478"/>
    <mergeCell ref="D479:E480"/>
    <mergeCell ref="D481:E482"/>
    <mergeCell ref="F458:I458"/>
    <mergeCell ref="D460:E461"/>
    <mergeCell ref="D462:E463"/>
    <mergeCell ref="D464:E465"/>
    <mergeCell ref="D466:E467"/>
    <mergeCell ref="D448:E449"/>
    <mergeCell ref="D450:E451"/>
    <mergeCell ref="D452:E453"/>
    <mergeCell ref="D458:E459"/>
    <mergeCell ref="D434:F435"/>
    <mergeCell ref="D440:E441"/>
    <mergeCell ref="F440:I440"/>
    <mergeCell ref="D442:E443"/>
    <mergeCell ref="D444:E445"/>
    <mergeCell ref="D428:F429"/>
    <mergeCell ref="D430:F431"/>
    <mergeCell ref="D432:F433"/>
    <mergeCell ref="D410:E411"/>
    <mergeCell ref="G416:J416"/>
    <mergeCell ref="D418:F419"/>
    <mergeCell ref="D420:F421"/>
    <mergeCell ref="D422:F423"/>
    <mergeCell ref="D446:E447"/>
    <mergeCell ref="D398:E399"/>
    <mergeCell ref="D400:E401"/>
    <mergeCell ref="D402:E403"/>
    <mergeCell ref="D404:E405"/>
    <mergeCell ref="D406:E407"/>
    <mergeCell ref="D408:E409"/>
    <mergeCell ref="D386:E387"/>
    <mergeCell ref="D388:E389"/>
    <mergeCell ref="D394:E395"/>
    <mergeCell ref="D396:E397"/>
    <mergeCell ref="D371:F372"/>
    <mergeCell ref="D378:E379"/>
    <mergeCell ref="F378:I378"/>
    <mergeCell ref="D380:E381"/>
    <mergeCell ref="D382:E383"/>
    <mergeCell ref="D384:E385"/>
    <mergeCell ref="D359:F360"/>
    <mergeCell ref="D361:F362"/>
    <mergeCell ref="D363:F364"/>
    <mergeCell ref="D365:F366"/>
    <mergeCell ref="D367:F368"/>
    <mergeCell ref="D369:F370"/>
    <mergeCell ref="D328:E329"/>
    <mergeCell ref="D330:E331"/>
    <mergeCell ref="G353:J353"/>
    <mergeCell ref="D355:F356"/>
    <mergeCell ref="D357:F358"/>
    <mergeCell ref="F318:I318"/>
    <mergeCell ref="J318:M318"/>
    <mergeCell ref="N318:Q318"/>
    <mergeCell ref="D320:E321"/>
    <mergeCell ref="D322:E323"/>
    <mergeCell ref="D324:E325"/>
    <mergeCell ref="K353:N353"/>
    <mergeCell ref="D326:E327"/>
    <mergeCell ref="D264:F265"/>
    <mergeCell ref="D305:E306"/>
    <mergeCell ref="D307:E308"/>
    <mergeCell ref="D309:E310"/>
    <mergeCell ref="D311:E312"/>
    <mergeCell ref="D318:E319"/>
    <mergeCell ref="D270:F271"/>
    <mergeCell ref="D272:F273"/>
    <mergeCell ref="D274:F275"/>
    <mergeCell ref="D276:F277"/>
    <mergeCell ref="D278:F279"/>
    <mergeCell ref="F303:I303"/>
    <mergeCell ref="G276:G277"/>
    <mergeCell ref="H276:H277"/>
    <mergeCell ref="I276:I277"/>
    <mergeCell ref="D250:E251"/>
    <mergeCell ref="F250:I250"/>
    <mergeCell ref="D252:E253"/>
    <mergeCell ref="D254:E255"/>
    <mergeCell ref="F237:I237"/>
    <mergeCell ref="J237:M237"/>
    <mergeCell ref="N237:Q237"/>
    <mergeCell ref="D239:E240"/>
    <mergeCell ref="D241:E242"/>
    <mergeCell ref="D243:E244"/>
    <mergeCell ref="J243:J244"/>
    <mergeCell ref="K243:K244"/>
    <mergeCell ref="L243:L244"/>
    <mergeCell ref="M243:M244"/>
    <mergeCell ref="J250:M250"/>
    <mergeCell ref="D226:E227"/>
    <mergeCell ref="D228:E229"/>
    <mergeCell ref="D230:E231"/>
    <mergeCell ref="D232:E233"/>
    <mergeCell ref="D237:E238"/>
    <mergeCell ref="D213:E214"/>
    <mergeCell ref="D215:E216"/>
    <mergeCell ref="D220:E221"/>
    <mergeCell ref="D245:E246"/>
    <mergeCell ref="D222:E223"/>
    <mergeCell ref="D224:E225"/>
    <mergeCell ref="F213:F214"/>
    <mergeCell ref="G213:G214"/>
    <mergeCell ref="H213:H214"/>
    <mergeCell ref="I213:I214"/>
    <mergeCell ref="D211:E212"/>
    <mergeCell ref="J213:J214"/>
    <mergeCell ref="K213:K214"/>
    <mergeCell ref="J220:M220"/>
    <mergeCell ref="D192:E193"/>
    <mergeCell ref="D194:E195"/>
    <mergeCell ref="D196:E197"/>
    <mergeCell ref="D198:E199"/>
    <mergeCell ref="F203:I203"/>
    <mergeCell ref="D209:E210"/>
    <mergeCell ref="J203:M203"/>
    <mergeCell ref="D205:E206"/>
    <mergeCell ref="D207:E208"/>
    <mergeCell ref="M162:M163"/>
    <mergeCell ref="L162:L163"/>
    <mergeCell ref="K162:K163"/>
    <mergeCell ref="J162:J163"/>
    <mergeCell ref="D177:E178"/>
    <mergeCell ref="D179:E180"/>
    <mergeCell ref="D181:E182"/>
    <mergeCell ref="D183:E184"/>
    <mergeCell ref="D185:E186"/>
    <mergeCell ref="F169:I169"/>
    <mergeCell ref="J169:M169"/>
    <mergeCell ref="D171:E172"/>
    <mergeCell ref="D173:E174"/>
    <mergeCell ref="D175:E176"/>
    <mergeCell ref="M183:M184"/>
    <mergeCell ref="L183:L184"/>
    <mergeCell ref="K183:K184"/>
    <mergeCell ref="J183:J184"/>
    <mergeCell ref="D154:E155"/>
    <mergeCell ref="D156:E157"/>
    <mergeCell ref="D158:E159"/>
    <mergeCell ref="D160:E161"/>
    <mergeCell ref="D162:E163"/>
    <mergeCell ref="D164:E165"/>
    <mergeCell ref="D144:E145"/>
    <mergeCell ref="D146:E147"/>
    <mergeCell ref="D148:E149"/>
    <mergeCell ref="D150:E151"/>
    <mergeCell ref="D152:E153"/>
    <mergeCell ref="D131:E132"/>
    <mergeCell ref="D133:E134"/>
    <mergeCell ref="D135:E136"/>
    <mergeCell ref="D137:E138"/>
    <mergeCell ref="F142:I142"/>
    <mergeCell ref="J142:M142"/>
    <mergeCell ref="F135:F136"/>
    <mergeCell ref="G135:G136"/>
    <mergeCell ref="H135:H136"/>
    <mergeCell ref="I135:I136"/>
    <mergeCell ref="M135:M136"/>
    <mergeCell ref="L135:L136"/>
    <mergeCell ref="K135:K136"/>
    <mergeCell ref="J135:J136"/>
    <mergeCell ref="D119:E120"/>
    <mergeCell ref="D121:E122"/>
    <mergeCell ref="D123:E124"/>
    <mergeCell ref="D125:E126"/>
    <mergeCell ref="D127:E128"/>
    <mergeCell ref="D129:E130"/>
    <mergeCell ref="D108:E109"/>
    <mergeCell ref="D110:E111"/>
    <mergeCell ref="F115:I115"/>
    <mergeCell ref="F108:F109"/>
    <mergeCell ref="G108:G109"/>
    <mergeCell ref="H108:H109"/>
    <mergeCell ref="I108:I109"/>
    <mergeCell ref="D117:E118"/>
    <mergeCell ref="D96:E97"/>
    <mergeCell ref="E98:E99"/>
    <mergeCell ref="E100:E101"/>
    <mergeCell ref="E102:E103"/>
    <mergeCell ref="E104:E105"/>
    <mergeCell ref="D106:E107"/>
    <mergeCell ref="M108:M109"/>
    <mergeCell ref="L108:L109"/>
    <mergeCell ref="K108:K109"/>
    <mergeCell ref="J108:J109"/>
    <mergeCell ref="M104:M105"/>
    <mergeCell ref="L104:L105"/>
    <mergeCell ref="K104:K105"/>
    <mergeCell ref="J104:J105"/>
    <mergeCell ref="F104:F105"/>
    <mergeCell ref="L87:L88"/>
    <mergeCell ref="K87:K88"/>
    <mergeCell ref="J87:J88"/>
    <mergeCell ref="M83:M84"/>
    <mergeCell ref="L83:L84"/>
    <mergeCell ref="D94:E95"/>
    <mergeCell ref="F94:I94"/>
    <mergeCell ref="J94:M94"/>
    <mergeCell ref="F87:F88"/>
    <mergeCell ref="G87:G88"/>
    <mergeCell ref="H87:H88"/>
    <mergeCell ref="I87:I88"/>
    <mergeCell ref="D87:E88"/>
    <mergeCell ref="D89:E90"/>
    <mergeCell ref="F83:F84"/>
    <mergeCell ref="G83:G84"/>
    <mergeCell ref="H83:H84"/>
    <mergeCell ref="I83:I84"/>
    <mergeCell ref="D75:E76"/>
    <mergeCell ref="E77:E78"/>
    <mergeCell ref="E79:E80"/>
    <mergeCell ref="E81:E82"/>
    <mergeCell ref="E83:E84"/>
    <mergeCell ref="D85:E86"/>
    <mergeCell ref="D62:E63"/>
    <mergeCell ref="D64:E65"/>
    <mergeCell ref="D66:E67"/>
    <mergeCell ref="D68:E69"/>
    <mergeCell ref="D73:E74"/>
    <mergeCell ref="J60:M60"/>
    <mergeCell ref="F53:F54"/>
    <mergeCell ref="G53:G54"/>
    <mergeCell ref="H53:H54"/>
    <mergeCell ref="I53:I54"/>
    <mergeCell ref="M53:M54"/>
    <mergeCell ref="L53:L54"/>
    <mergeCell ref="K53:K54"/>
    <mergeCell ref="J53:J54"/>
    <mergeCell ref="F73:I73"/>
    <mergeCell ref="J73:M73"/>
    <mergeCell ref="F66:F67"/>
    <mergeCell ref="G66:G67"/>
    <mergeCell ref="H66:H67"/>
    <mergeCell ref="I66:I67"/>
    <mergeCell ref="M66:M67"/>
    <mergeCell ref="D33:E33"/>
    <mergeCell ref="A38:F38"/>
    <mergeCell ref="D41:E42"/>
    <mergeCell ref="F41:I41"/>
    <mergeCell ref="D51:E52"/>
    <mergeCell ref="D53:E54"/>
    <mergeCell ref="D55:E56"/>
    <mergeCell ref="D60:E61"/>
    <mergeCell ref="F60:I60"/>
    <mergeCell ref="K83:K84"/>
    <mergeCell ref="J83:J84"/>
    <mergeCell ref="A1:R1"/>
    <mergeCell ref="C10:L10"/>
    <mergeCell ref="C11:L11"/>
    <mergeCell ref="C12:L12"/>
    <mergeCell ref="D23:E24"/>
    <mergeCell ref="F23:I23"/>
    <mergeCell ref="J23:M23"/>
    <mergeCell ref="N23:Q23"/>
    <mergeCell ref="J41:M41"/>
    <mergeCell ref="N41:Q41"/>
    <mergeCell ref="D43:E44"/>
    <mergeCell ref="D45:E46"/>
    <mergeCell ref="D47:E48"/>
    <mergeCell ref="D49:E50"/>
    <mergeCell ref="D25:E25"/>
    <mergeCell ref="D26:E26"/>
    <mergeCell ref="D27:D32"/>
    <mergeCell ref="N60:Q60"/>
    <mergeCell ref="N73:Q73"/>
    <mergeCell ref="L66:L67"/>
    <mergeCell ref="K66:K67"/>
    <mergeCell ref="J66:J67"/>
    <mergeCell ref="J378:M378"/>
    <mergeCell ref="J394:M394"/>
    <mergeCell ref="K416:N416"/>
    <mergeCell ref="J440:M440"/>
    <mergeCell ref="J458:M458"/>
    <mergeCell ref="J475:M475"/>
    <mergeCell ref="J491:M491"/>
    <mergeCell ref="J507:M507"/>
    <mergeCell ref="J523:M523"/>
    <mergeCell ref="J587:M587"/>
    <mergeCell ref="J621:M621"/>
    <mergeCell ref="K633:N633"/>
    <mergeCell ref="J659:M659"/>
    <mergeCell ref="J539:M539"/>
    <mergeCell ref="J555:M555"/>
    <mergeCell ref="J571:M571"/>
    <mergeCell ref="L743:L744"/>
    <mergeCell ref="M743:M744"/>
    <mergeCell ref="N743:N744"/>
    <mergeCell ref="O743:O744"/>
    <mergeCell ref="P727:S727"/>
    <mergeCell ref="P741:P742"/>
    <mergeCell ref="Q741:Q742"/>
    <mergeCell ref="R741:R742"/>
    <mergeCell ref="S741:S742"/>
    <mergeCell ref="L727:O727"/>
    <mergeCell ref="P840:P841"/>
    <mergeCell ref="Q840:Q841"/>
    <mergeCell ref="R840:R841"/>
    <mergeCell ref="T840:T841"/>
    <mergeCell ref="P846:P847"/>
    <mergeCell ref="Q846:Q847"/>
    <mergeCell ref="R846:R847"/>
    <mergeCell ref="T846:T847"/>
    <mergeCell ref="P830:S830"/>
    <mergeCell ref="S840:S841"/>
    <mergeCell ref="S846:S847"/>
    <mergeCell ref="P773:S773"/>
    <mergeCell ref="P777:P778"/>
    <mergeCell ref="Q777:Q778"/>
    <mergeCell ref="R777:R778"/>
    <mergeCell ref="S777:S778"/>
    <mergeCell ref="P791:P792"/>
    <mergeCell ref="Q791:Q792"/>
    <mergeCell ref="R791:R792"/>
    <mergeCell ref="S791:S792"/>
    <mergeCell ref="N94:Q94"/>
    <mergeCell ref="N115:Q115"/>
    <mergeCell ref="N142:Q142"/>
    <mergeCell ref="N169:Q169"/>
    <mergeCell ref="H698:H699"/>
    <mergeCell ref="I698:I699"/>
    <mergeCell ref="J698:J699"/>
    <mergeCell ref="P696:P697"/>
    <mergeCell ref="Q696:Q697"/>
    <mergeCell ref="K276:K277"/>
    <mergeCell ref="L276:L277"/>
    <mergeCell ref="M276:M277"/>
    <mergeCell ref="N276:N277"/>
    <mergeCell ref="J303:M303"/>
    <mergeCell ref="J328:J329"/>
    <mergeCell ref="K328:K329"/>
    <mergeCell ref="L328:L329"/>
    <mergeCell ref="M328:M329"/>
    <mergeCell ref="J115:M115"/>
    <mergeCell ref="N203:Q203"/>
    <mergeCell ref="O262:R262"/>
    <mergeCell ref="F394:I394"/>
    <mergeCell ref="D424:F425"/>
    <mergeCell ref="D426:F427"/>
    <mergeCell ref="M87:M88"/>
    <mergeCell ref="H743:H744"/>
    <mergeCell ref="I743:I744"/>
    <mergeCell ref="J743:J744"/>
    <mergeCell ref="K743:K744"/>
    <mergeCell ref="F162:F163"/>
    <mergeCell ref="G162:G163"/>
    <mergeCell ref="H162:H163"/>
    <mergeCell ref="I162:I163"/>
    <mergeCell ref="F183:F184"/>
    <mergeCell ref="G183:G184"/>
    <mergeCell ref="H183:H184"/>
    <mergeCell ref="I183:I184"/>
    <mergeCell ref="F190:I190"/>
    <mergeCell ref="J190:M190"/>
    <mergeCell ref="F220:I220"/>
    <mergeCell ref="L213:L214"/>
    <mergeCell ref="M213:M214"/>
    <mergeCell ref="D266:F267"/>
    <mergeCell ref="D268:F269"/>
    <mergeCell ref="D256:E257"/>
    <mergeCell ref="A259:H259"/>
    <mergeCell ref="G262:J262"/>
    <mergeCell ref="K262:N262"/>
  </mergeCells>
  <phoneticPr fontId="2"/>
  <printOptions horizontalCentered="1"/>
  <pageMargins left="0.31496062992125984" right="0.15748031496062992" top="0.35433070866141736" bottom="0.35433070866141736" header="0.31496062992125984" footer="0.31496062992125984"/>
  <pageSetup paperSize="9" scale="70" orientation="portrait" r:id="rId1"/>
  <headerFooter>
    <oddFooter>&amp;C- &amp;P -</oddFooter>
  </headerFooter>
  <rowBreaks count="10" manualBreakCount="10">
    <brk id="91" max="18" man="1"/>
    <brk id="167" max="18" man="1"/>
    <brk id="257" max="18" man="1"/>
    <brk id="350" max="18" man="1"/>
    <brk id="437" max="18" man="1"/>
    <brk id="520" max="18" man="1"/>
    <brk id="615" max="18" man="1"/>
    <brk id="674" max="18" man="1"/>
    <brk id="827" max="18" man="1"/>
    <brk id="936" max="36" man="1"/>
  </rowBreaks>
  <colBreaks count="1" manualBreakCount="1">
    <brk id="22" max="69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公表ベース（グラフ付き）</vt:lpstr>
      <vt:lpstr>'公表ベース（グラフ付き）'!Print_Area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澁澤＿繁樹（医師確保推進グループ）</cp:lastModifiedBy>
  <cp:lastPrinted>2020-03-31T01:19:32Z</cp:lastPrinted>
  <dcterms:created xsi:type="dcterms:W3CDTF">2018-01-24T06:51:36Z</dcterms:created>
  <dcterms:modified xsi:type="dcterms:W3CDTF">2020-04-24T00:55:12Z</dcterms:modified>
</cp:coreProperties>
</file>